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\Bunpod_eport\training\"/>
    </mc:Choice>
  </mc:AlternateContent>
  <bookViews>
    <workbookView showSheetTabs="0" xWindow="0" yWindow="0" windowWidth="20490" windowHeight="7455" tabRatio="687"/>
  </bookViews>
  <sheets>
    <sheet name="Menu" sheetId="11" r:id="rId1"/>
    <sheet name="DataSet" sheetId="3" r:id="rId2"/>
    <sheet name="องค์ 1" sheetId="2" r:id="rId3"/>
    <sheet name="องค์ 2" sheetId="4" r:id="rId4"/>
    <sheet name="องค์ 3" sheetId="5" r:id="rId5"/>
    <sheet name="องค์ 4" sheetId="6" r:id="rId6"/>
    <sheet name="องค์ 5" sheetId="7" r:id="rId7"/>
    <sheet name="องค์ 6" sheetId="8" r:id="rId8"/>
    <sheet name="วิเคราะห์คุณภาพ" sheetId="9" r:id="rId9"/>
    <sheet name="ผลประเมินตามตัวบ่งชี้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0" l="1"/>
  <c r="B7" i="10"/>
  <c r="I20" i="4"/>
  <c r="I17" i="4"/>
  <c r="K3" i="9"/>
  <c r="M2" i="9"/>
  <c r="F2" i="9"/>
  <c r="I11" i="4" l="1"/>
  <c r="G5" i="4" l="1"/>
  <c r="C11" i="4"/>
  <c r="B10" i="4"/>
  <c r="H11" i="4"/>
  <c r="H10" i="4"/>
  <c r="J11" i="4"/>
  <c r="J12" i="4"/>
  <c r="J9" i="4"/>
  <c r="J8" i="4"/>
  <c r="H12" i="4"/>
  <c r="H9" i="4"/>
  <c r="H8" i="4"/>
  <c r="B12" i="4"/>
  <c r="B9" i="4"/>
  <c r="B8" i="4"/>
  <c r="J10" i="4"/>
  <c r="O8" i="4"/>
  <c r="A6" i="4" l="1"/>
  <c r="L17" i="4"/>
  <c r="L18" i="4" s="1"/>
  <c r="S5" i="3" s="1"/>
  <c r="L20" i="4"/>
  <c r="L21" i="4" s="1"/>
  <c r="S6" i="3" s="1"/>
  <c r="K10" i="7"/>
  <c r="K11" i="7" s="1"/>
  <c r="K12" i="7" s="1"/>
  <c r="J7" i="4"/>
  <c r="A19" i="4"/>
  <c r="J20" i="4"/>
  <c r="H20" i="4"/>
  <c r="B21" i="4"/>
  <c r="B20" i="4"/>
  <c r="J17" i="4"/>
  <c r="H17" i="4"/>
  <c r="B18" i="4"/>
  <c r="B17" i="4"/>
  <c r="A16" i="4"/>
  <c r="J15" i="4"/>
  <c r="J14" i="4"/>
  <c r="J13" i="4"/>
  <c r="H15" i="4"/>
  <c r="H14" i="4"/>
  <c r="H13" i="4"/>
  <c r="H7" i="4"/>
  <c r="B15" i="4"/>
  <c r="B14" i="4"/>
  <c r="B13" i="4"/>
  <c r="B7" i="4"/>
  <c r="L3" i="4"/>
  <c r="L7" i="4" s="1"/>
  <c r="K3" i="4"/>
  <c r="K5" i="4" s="1"/>
  <c r="C6" i="10" s="1"/>
  <c r="I4" i="8"/>
  <c r="C25" i="10" s="1"/>
  <c r="I8" i="7"/>
  <c r="I6" i="7"/>
  <c r="I4" i="7"/>
  <c r="C20" i="10" s="1"/>
  <c r="B9" i="6"/>
  <c r="E9" i="6"/>
  <c r="H4" i="3"/>
  <c r="I4" i="6"/>
  <c r="I11" i="6"/>
  <c r="S16" i="3" l="1"/>
  <c r="C22" i="10"/>
  <c r="C23" i="10"/>
  <c r="S17" i="3"/>
  <c r="T17" i="3" s="1"/>
  <c r="H10" i="9" s="1"/>
  <c r="S15" i="3"/>
  <c r="C21" i="10"/>
  <c r="S13" i="3"/>
  <c r="C18" i="10"/>
  <c r="S10" i="3"/>
  <c r="C13" i="10"/>
  <c r="S18" i="3"/>
  <c r="M11" i="9"/>
  <c r="N11" i="9" s="1"/>
  <c r="S14" i="3"/>
  <c r="M10" i="9"/>
  <c r="N10" i="9" s="1"/>
  <c r="C19" i="9"/>
  <c r="B19" i="9" s="1"/>
  <c r="C18" i="9"/>
  <c r="B18" i="9" s="1"/>
  <c r="S3" i="3"/>
  <c r="L8" i="4"/>
  <c r="F25" i="3"/>
  <c r="F24" i="3"/>
  <c r="F23" i="3"/>
  <c r="I8" i="5"/>
  <c r="I6" i="5"/>
  <c r="C17" i="9" l="1"/>
  <c r="B17" i="9" s="1"/>
  <c r="M7" i="9" s="1"/>
  <c r="N7" i="9" s="1"/>
  <c r="C7" i="10"/>
  <c r="H12" i="9"/>
  <c r="H13" i="9"/>
  <c r="H14" i="9" s="1"/>
  <c r="S9" i="3"/>
  <c r="C11" i="10"/>
  <c r="S8" i="3"/>
  <c r="C10" i="10"/>
  <c r="C10" i="9"/>
  <c r="T14" i="3"/>
  <c r="D10" i="9" s="1"/>
  <c r="C11" i="9"/>
  <c r="T18" i="3"/>
  <c r="H11" i="9" s="1"/>
  <c r="T6" i="3"/>
  <c r="T5" i="3"/>
  <c r="K13" i="9"/>
  <c r="K14" i="9" s="1"/>
  <c r="S4" i="3"/>
  <c r="C7" i="9" s="1"/>
  <c r="K7" i="6"/>
  <c r="N7" i="6" s="1"/>
  <c r="M6" i="6"/>
  <c r="K6" i="6"/>
  <c r="J8" i="6"/>
  <c r="M7" i="6"/>
  <c r="P7" i="6" s="1"/>
  <c r="L6" i="6"/>
  <c r="J10" i="6"/>
  <c r="L7" i="6"/>
  <c r="O7" i="6" s="1"/>
  <c r="K12" i="9" l="1"/>
  <c r="T4" i="3"/>
  <c r="K7" i="9" s="1"/>
  <c r="I7" i="6"/>
  <c r="C15" i="10" s="1"/>
  <c r="K8" i="6"/>
  <c r="N8" i="6" s="1"/>
  <c r="L8" i="6"/>
  <c r="O8" i="6" s="1"/>
  <c r="M8" i="6"/>
  <c r="P8" i="6" s="1"/>
  <c r="I8" i="6" s="1"/>
  <c r="C16" i="10" s="1"/>
  <c r="K10" i="6"/>
  <c r="N10" i="6" s="1"/>
  <c r="M10" i="6"/>
  <c r="P10" i="6" s="1"/>
  <c r="L10" i="6"/>
  <c r="O10" i="6" s="1"/>
  <c r="P6" i="6"/>
  <c r="O6" i="6"/>
  <c r="N6" i="6"/>
  <c r="B5" i="2"/>
  <c r="B6" i="2"/>
  <c r="B7" i="2"/>
  <c r="B8" i="2"/>
  <c r="B9" i="2"/>
  <c r="B10" i="2"/>
  <c r="B11" i="2"/>
  <c r="B12" i="2"/>
  <c r="I6" i="6" l="1"/>
  <c r="I9" i="6"/>
  <c r="C17" i="10" s="1"/>
  <c r="D16" i="2"/>
  <c r="E16" i="2" s="1"/>
  <c r="F16" i="2" s="1"/>
  <c r="G16" i="2" s="1"/>
  <c r="D15" i="2"/>
  <c r="E15" i="2" s="1"/>
  <c r="F15" i="2" s="1"/>
  <c r="G15" i="2" s="1"/>
  <c r="A13" i="2"/>
  <c r="A12" i="2"/>
  <c r="A11" i="2"/>
  <c r="A10" i="2"/>
  <c r="A9" i="2"/>
  <c r="A8" i="2"/>
  <c r="A7" i="2"/>
  <c r="A6" i="2"/>
  <c r="A5" i="2"/>
  <c r="A4" i="2"/>
  <c r="A3" i="2"/>
  <c r="J6" i="6" l="1"/>
  <c r="C14" i="10"/>
  <c r="O6" i="9"/>
  <c r="J7" i="6"/>
  <c r="S11" i="3" l="1"/>
  <c r="T11" i="3" s="1"/>
  <c r="D9" i="9" s="1"/>
  <c r="M9" i="9"/>
  <c r="N9" i="9" s="1"/>
  <c r="O7" i="9"/>
  <c r="C4" i="10"/>
  <c r="S12" i="3"/>
  <c r="O8" i="9"/>
  <c r="C9" i="9"/>
  <c r="T12" i="3" l="1"/>
  <c r="I4" i="5"/>
  <c r="M18" i="9" l="1"/>
  <c r="M19" i="9"/>
  <c r="C9" i="10"/>
  <c r="O17" i="9"/>
  <c r="O19" i="9"/>
  <c r="P19" i="9" s="1"/>
  <c r="M8" i="9"/>
  <c r="N8" i="9" s="1"/>
  <c r="S7" i="3"/>
  <c r="D13" i="9"/>
  <c r="D14" i="9" s="1"/>
  <c r="M17" i="9"/>
  <c r="O18" i="9"/>
  <c r="P18" i="9" s="1"/>
  <c r="P17" i="9" l="1"/>
  <c r="W3" i="3"/>
  <c r="X3" i="3"/>
  <c r="X4" i="3"/>
  <c r="C8" i="9"/>
  <c r="C12" i="9" s="1"/>
  <c r="V3" i="3"/>
  <c r="W4" i="3"/>
  <c r="T9" i="3"/>
  <c r="D8" i="9" s="1"/>
  <c r="V4" i="3"/>
  <c r="D12" i="9"/>
  <c r="N12" i="9" l="1"/>
  <c r="N13" i="9"/>
  <c r="M13" i="9" s="1"/>
  <c r="O9" i="9" s="1"/>
</calcChain>
</file>

<file path=xl/sharedStrings.xml><?xml version="1.0" encoding="utf-8"?>
<sst xmlns="http://schemas.openxmlformats.org/spreadsheetml/2006/main" count="260" uniqueCount="217">
  <si>
    <t>ตารางการวิเคราะห์คุณภาพการศึกษาภายในระดับหลักสูตร</t>
  </si>
  <si>
    <t>องค์ประกอบที่</t>
  </si>
  <si>
    <t>จำนวนตัวบ่งชี้</t>
  </si>
  <si>
    <t>Input</t>
  </si>
  <si>
    <t>Process</t>
  </si>
  <si>
    <t>Output</t>
  </si>
  <si>
    <t>คะแนนเฉลี่ย</t>
  </si>
  <si>
    <t>ผลการประเมิน</t>
  </si>
  <si>
    <t>คะแนนเฉลี่ยของทุกตัวบ่งชี้ในองค์ประกอบที่ 2-6</t>
  </si>
  <si>
    <t>หลักสูตร</t>
  </si>
  <si>
    <t>สาขาวิชา</t>
  </si>
  <si>
    <t>ระดับปริญญา</t>
  </si>
  <si>
    <t>ประเด็น</t>
  </si>
  <si>
    <t>ปริญญาตรี</t>
  </si>
  <si>
    <t>ปริญญาโท</t>
  </si>
  <si>
    <t>ปริญญาเอก</t>
  </si>
  <si>
    <t>ศิลปศาสตรบัณฑิต</t>
  </si>
  <si>
    <t>วิทยาศาสตรบัณฑิต</t>
  </si>
  <si>
    <t xml:space="preserve">ปีการศึกษาที่ประเมิน  </t>
  </si>
  <si>
    <t>ผลการดำเนินงาน</t>
  </si>
  <si>
    <t>วันที่ประเมิน</t>
  </si>
  <si>
    <t>ประธานตรวจประเมิน</t>
  </si>
  <si>
    <t>กรรมการ 2</t>
  </si>
  <si>
    <t>กรรมการ 1</t>
  </si>
  <si>
    <t>เลขานุการ</t>
  </si>
  <si>
    <t>องค์ประกอบที่ 1 การกำกับมาตรฐาน</t>
  </si>
  <si>
    <t>1) จำนวนอาจารย์ประจำหลักสูตร</t>
  </si>
  <si>
    <t>สัญลักษณ์</t>
  </si>
  <si>
    <t>มี</t>
  </si>
  <si>
    <t>ไม่มี</t>
  </si>
  <si>
    <t>ตัวบ่งชี้ 1.1 การบริหารจัดการหลักสูตรตามเกณฑ์มาตรฐานหลักสูตรที่กำหนดโดย สกอ.</t>
  </si>
  <si>
    <t>เงื่อนไข</t>
  </si>
  <si>
    <t>ป.ตรี</t>
  </si>
  <si>
    <t>ป.โท/เอก</t>
  </si>
  <si>
    <t>ผ่าน</t>
  </si>
  <si>
    <t>ไม่ผ่าน</t>
  </si>
  <si>
    <t>11) การปรับปรุงหลักสูตรตามรอบระยะเวลาที่กำหนด</t>
  </si>
  <si>
    <t>10) อาจารย์ที่ปรึกษาวิทยานิพนธ์และการค้นคว้าอิสระในระดับบัณฑิตมีผลงานวิจัยอย่างต่อเนื่องและสม่ำเสมอ</t>
  </si>
  <si>
    <t>9) ภาระงานอาจารย์ที่ปรึกษาวิทยานิพนธ์และการค้นคว้าอิสระนะระดับบัณฑิตศึกษา</t>
  </si>
  <si>
    <t>8) การตีพิมพ์เผยแพร่ผลงานของผู้สำเร็จการศึกษา</t>
  </si>
  <si>
    <t>7) คุณสมบัติของอาจารย์ผู้สอบวิทยานิพนธ์</t>
  </si>
  <si>
    <t>6) คุณสมบัติของอาจารย์ที่ปรึกษาวิทยานิพนธ์ร่วม (ถ้ามี)</t>
  </si>
  <si>
    <t>5) คุณสมบัติของอาจารย์ที่ปรึกษาวิทยานิพนธ์หลักและอาจารย์ที่ปรึกษาการค้นคว้าอิสระ</t>
  </si>
  <si>
    <t>4) คุณสมบัติของอาจารย์ผู้สอน</t>
  </si>
  <si>
    <t>3) คุณสมบัติของอาจารย์ผู้รับผิดชอบหลักสูตร</t>
  </si>
  <si>
    <t>2) คุณสมบัติของอาจารย์ประจำหลักสูตร</t>
  </si>
  <si>
    <t>องค์ประกอบที่ 2 บัณฑิต</t>
  </si>
  <si>
    <t>ตัวบ่งชี้ 2.1 คุณภาพบัณฑิตตามกรอบมาตรฐานคุณวุฒิระดับอุดมศึกษาแห่งชาติ</t>
  </si>
  <si>
    <t>องค์ประกอบที่ 3 นักศึกษา</t>
  </si>
  <si>
    <t>ผลการดำเนินงานตามเกณฑ์</t>
  </si>
  <si>
    <t>ตัวบ่งชี้ 3.1 การรับนักศึกษา</t>
  </si>
  <si>
    <t>เกณฑ์ระดับที่</t>
  </si>
  <si>
    <t>ตัวบ่งชี้ 3.2 การส่งเสริมและการพัฒนานักศึกษา</t>
  </si>
  <si>
    <t>ตัวบ่งชี้ 3.3 ผลที่เกิดกับนักศึกษา</t>
  </si>
  <si>
    <t>องค์ประกอบที่ 4 อาจารย์</t>
  </si>
  <si>
    <t>ตัวบ่งชี้ 4.1 การบริหารและพัฒนาอาจารย์</t>
  </si>
  <si>
    <t>ตัวบ่งชี้ 4.2 คุณภาพอาจารย์</t>
  </si>
  <si>
    <t>ตัวบ่งชี้ 4.3 ผลที่เกิดกับอาจารย์</t>
  </si>
  <si>
    <t>4.2 (1) อาจารย์ประจำหลักสูตรที่มีคุณวุฒิปริญญาเอก</t>
  </si>
  <si>
    <t>อาจารย์ 1</t>
  </si>
  <si>
    <t>สถานะ</t>
  </si>
  <si>
    <t>สถานะอาจารย์</t>
  </si>
  <si>
    <t>ผู้รับผิดชอบหลักสูตร</t>
  </si>
  <si>
    <t>อาจารย์ประจำหลักสูตร</t>
  </si>
  <si>
    <t>อาจารย์ผู้สอน</t>
  </si>
  <si>
    <t>จำนวน</t>
  </si>
  <si>
    <t>4.2 (2) อาจารย์ประจำหลักสูตรที่ดำรงตำแหน่งทางวิชาการ</t>
  </si>
  <si>
    <t>ร้อยละ</t>
  </si>
  <si>
    <t>ป.โท</t>
  </si>
  <si>
    <t>ป.เอก</t>
  </si>
  <si>
    <t>ร้อยละของอาจารย์</t>
  </si>
  <si>
    <t>แปลงค่าร้อยละ</t>
  </si>
  <si>
    <t>กลุ่มสาขาวิชา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</si>
  <si>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</si>
  <si>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</si>
  <si>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</si>
  <si>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มนุษย์</t>
  </si>
  <si>
    <t>วิทย์สุข</t>
  </si>
  <si>
    <t>วิทย์เทค</t>
  </si>
  <si>
    <t>ผลรวมถ่วง นน.</t>
  </si>
  <si>
    <t>จำนวนชิ้นผลงาน</t>
  </si>
  <si>
    <t>4.2 (3) ผลงานทางวิชาการอาจารย์ประจำหลักสูตร</t>
  </si>
  <si>
    <t>องค์ประกอบที่ 5 หลักสูตร การเรียนการสอน การประเมินผู้เรียน</t>
  </si>
  <si>
    <t>ตัวบ่งชี้ 5.1 สาระของรายวิชาในหลักสูตร</t>
  </si>
  <si>
    <t>ตัวบ่งชี้ 5.2 การวางระบบผู้สอนและกระบวนการจัดการเรียนการสอน</t>
  </si>
  <si>
    <t>ตัวบ่งชี้ 5.3 การประเมินผู้เรียน</t>
  </si>
  <si>
    <t>ตัวบ่งชี้ 5.4 ผลการดำเนินงานของหลักสูตรตามกรอบมาตรฐานคุณวุฒิระดับอุดมศึกษาแห่งชาติ</t>
  </si>
  <si>
    <t>องค์ประกอบที่ 6 สิ่งสนับสนุนการเรียนรู้</t>
  </si>
  <si>
    <t>ตัวบ่งชี้ 6.1 สิ่งสนับสนุนการเรียนรู้</t>
  </si>
  <si>
    <t>รวมตัวบ่งชี้</t>
  </si>
  <si>
    <t>ผลรวมของค่าคะแนนที่ได้จากการประเมินบัณฑิต</t>
  </si>
  <si>
    <t>คน</t>
  </si>
  <si>
    <t>จำนวนบัณฑิตที่สำเร็จการศึกษา</t>
  </si>
  <si>
    <t>เทียบ 5 คะแนน</t>
  </si>
  <si>
    <t>องค์ 2 ป.ตรี</t>
  </si>
  <si>
    <t>องค์ 2 ป.โท</t>
  </si>
  <si>
    <t>องค์ 2 ป.เอก</t>
  </si>
  <si>
    <t xml:space="preserve"> </t>
  </si>
  <si>
    <t>ศึกษาศาสตบัณฑิต</t>
  </si>
  <si>
    <t>รัฐศาสตรบัณฑิต</t>
  </si>
  <si>
    <t>นิติศาสตรบัณฑิต</t>
  </si>
  <si>
    <t>ภาษาจีน</t>
  </si>
  <si>
    <t>ภาษาไทย</t>
  </si>
  <si>
    <t>ภาษาอังกฤษ</t>
  </si>
  <si>
    <t>ภาษาอังกฤษธุรกิจ</t>
  </si>
  <si>
    <t>รัฐประศาสนศาสตร์</t>
  </si>
  <si>
    <t>นิติศาสตร์</t>
  </si>
  <si>
    <t>บรรณารักษศาสตร์และสารสนเทศศาสตร์</t>
  </si>
  <si>
    <t>จิตวิทยาอุตสาหกรรมและองค์การ</t>
  </si>
  <si>
    <t>ศิลปศึกษา</t>
  </si>
  <si>
    <t>รัฐศาสตร์</t>
  </si>
  <si>
    <t>คณิตศาสตร์</t>
  </si>
  <si>
    <t>ฟิสิกส์</t>
  </si>
  <si>
    <t>เทคโนโลยีเคมี</t>
  </si>
  <si>
    <t>เทคโนโลยีสารสนเทศ</t>
  </si>
  <si>
    <t>วิทยาการคอมพิวเตอร์</t>
  </si>
  <si>
    <t>วิทยาศาสตร์เครื่องสำอาง</t>
  </si>
  <si>
    <t>อาชีวอนามัยและความปลอดภัย</t>
  </si>
  <si>
    <t>สิ่งแวดล้อมเมืองและอุตสาหกรรม</t>
  </si>
  <si>
    <t>คหกรรมศาสตร์</t>
  </si>
  <si>
    <t>เทคโนโลยีการแปรรูปอาหาร</t>
  </si>
  <si>
    <t>โภชนาการและการประกอบอาหาร</t>
  </si>
  <si>
    <t>เทคโนโลยีการประกอบอาหารและการบริการ</t>
  </si>
  <si>
    <t>ธุรกิจการบิน</t>
  </si>
  <si>
    <t>การท่องเที่ยว</t>
  </si>
  <si>
    <t>ธุรกิจการโรงแรม</t>
  </si>
  <si>
    <t>Hospitality Management (EP)</t>
  </si>
  <si>
    <t>ออกแบบนิทรรศการและการจัดแสดง</t>
  </si>
  <si>
    <t>พยาบาลศาสตรบัณฑิต</t>
  </si>
  <si>
    <t>พยาบาลศาสตร์</t>
  </si>
  <si>
    <t>บัญชีบัณฑิต</t>
  </si>
  <si>
    <t>นิเทศศาสตรบัณฑิต</t>
  </si>
  <si>
    <t>บริหารธุรกิจบัณฑิต</t>
  </si>
  <si>
    <t>การเงิน</t>
  </si>
  <si>
    <t>การตลาด</t>
  </si>
  <si>
    <t>การจัดการ</t>
  </si>
  <si>
    <t>การบริการลูกค้า</t>
  </si>
  <si>
    <t>คอมพิวเตอร์ธุรกิจ</t>
  </si>
  <si>
    <t>ธุรกิจระหว่างประเทศ</t>
  </si>
  <si>
    <t>การจัดการธุรกิจค้าปลีก</t>
  </si>
  <si>
    <t>เลขานุการทางการแพทย์</t>
  </si>
  <si>
    <t>การจัดการทรัพยากรมนุษย์</t>
  </si>
  <si>
    <t>การศึกษาปฐมวัย</t>
  </si>
  <si>
    <t>การประถมศึกษา</t>
  </si>
  <si>
    <t xml:space="preserve">การจัดการเรียนการสอนด้วยหลักสูตรนี้เป็นปีที่ </t>
  </si>
  <si>
    <t>ปีที่</t>
  </si>
  <si>
    <t>การดำเนินการตามตัวบ่งชี้</t>
  </si>
  <si>
    <t>ตัวบ่งชี้</t>
  </si>
  <si>
    <t>จำนวนตัวบ่งชี้ที่ระบุไว้ใน มคอ.2 สำหรับปีการศึกษานี้</t>
  </si>
  <si>
    <r>
      <t xml:space="preserve">1) </t>
    </r>
    <r>
      <rPr>
        <sz val="14"/>
        <color theme="1"/>
        <rFont val="TH SarabunPSK"/>
        <family val="2"/>
      </rPr>
      <t>อาจารย์ประจำหลักสูตรอย่างน้อยร้อยละ 80 มีส่วนร่วมในการประชุม ...</t>
    </r>
  </si>
  <si>
    <t>4) จัดทำ มคอ.5 และ มคอ.6 (ถ้ามี) ภายใน 30 วัน ...</t>
  </si>
  <si>
    <r>
      <t xml:space="preserve">3) </t>
    </r>
    <r>
      <rPr>
        <sz val="16"/>
        <color theme="1"/>
        <rFont val="TH SarabunPSK"/>
        <family val="2"/>
      </rPr>
      <t>มี มคอ.3 และ มคอ.4 (ถ้ามี) ก่อนเปิดภาคการศึกษา ...</t>
    </r>
  </si>
  <si>
    <r>
      <t xml:space="preserve">2) </t>
    </r>
    <r>
      <rPr>
        <sz val="16"/>
        <color theme="1"/>
        <rFont val="TH SarabunPSK"/>
        <family val="2"/>
      </rPr>
      <t>มีรายละเอียดของหลักสูตร ตามแบบ มคอ.2 ที่สอดคล้องกับ มคอ.1 ..</t>
    </r>
  </si>
  <si>
    <t>5) จัดทำ มคอ.7 ภายใน 60วัน หลังสิ้นสุดปีการศึกษา</t>
  </si>
  <si>
    <t>6) มีการทวนสอบผลสัมฤทธิ์ของนักศึกษา อย่างน้อยร้อยละ 25 ...</t>
  </si>
  <si>
    <t>7) มีการปรับปรุงการจัดการเรียนการสอน จากผลการประเมินปีที่แล้ว ..</t>
  </si>
  <si>
    <t>8) อาจารย์ใหม่ (ถ้ามี) ทุกคน ได้รับการปฐมนิเทศหรือคำแนะนำ</t>
  </si>
  <si>
    <t>9) อาจารย์ประจำหลักสูตรทุกคนได้รับการพัฒนาทางวิชาการ ปีละ 1ครั้ง</t>
  </si>
  <si>
    <t xml:space="preserve">10) บุคลากรสนับสนุนการเรียนการสอน (ถ้ามี) ได้รับการพัฒนาวิชาการ </t>
  </si>
  <si>
    <t>11) ระดับความพึงพอใจของนักศึกษาปีสุดท้าย/บัณฑิตใหม่ ไม่น้อยกว่า 3.5</t>
  </si>
  <si>
    <t xml:space="preserve">13) </t>
  </si>
  <si>
    <t xml:space="preserve">14) </t>
  </si>
  <si>
    <t xml:space="preserve">15) </t>
  </si>
  <si>
    <t>ดำเนินการ</t>
  </si>
  <si>
    <t xml:space="preserve">12) ระดับความพึงพอใจของผู้ใช้บัณฑิตที่มีต่อบัณฑิตใหม่ ไม่น้อยกว่า 3.5 </t>
  </si>
  <si>
    <t>ร้อยละการดำเนินการ</t>
  </si>
  <si>
    <t>มี นศ. จบ</t>
  </si>
  <si>
    <t>ไม่มี นศ. จบ</t>
  </si>
  <si>
    <t>ค่าเฉลี่ยแนวนอน</t>
  </si>
  <si>
    <t>เฉลี่ยรวม</t>
  </si>
  <si>
    <t>ปีการศึกษา</t>
  </si>
  <si>
    <t xml:space="preserve">จำนวนบัณฑิตที่รับการประเมิน </t>
  </si>
  <si>
    <t>คิดเป็นร้อยละ</t>
  </si>
  <si>
    <t>ผลคะแนน</t>
  </si>
  <si>
    <t>องค์</t>
  </si>
  <si>
    <t>คะแนน</t>
  </si>
  <si>
    <t>2.2 (ป.ตรี)</t>
  </si>
  <si>
    <t>2.2 (ป.โท)</t>
  </si>
  <si>
    <t>2.2 (ป.เอก)</t>
  </si>
  <si>
    <t>4.2 (ป.ตรีโท)</t>
  </si>
  <si>
    <t>4.2 (ป.เอก)</t>
  </si>
  <si>
    <t>เฉลี่ย</t>
  </si>
  <si>
    <t>ปตรี</t>
  </si>
  <si>
    <t>ปโท</t>
  </si>
  <si>
    <t>ปเอก</t>
  </si>
  <si>
    <t>มีบัณฑิต</t>
  </si>
  <si>
    <t>ไม่มีบัณฑิต</t>
  </si>
  <si>
    <t>ผลการประเมินตามตัวบ่งชี้</t>
  </si>
  <si>
    <t>หมายเหตุ</t>
  </si>
  <si>
    <t>1. การกำกับมาตรฐาน</t>
  </si>
  <si>
    <t>1.1 การบริหารจัดการหลักสูตรตามเกณฑ์มาตรฐานหลักสูตร</t>
  </si>
  <si>
    <t>2. บัณฑิต</t>
  </si>
  <si>
    <t>2.1 คุณภาพบัณฑิตตามกรอบมาตรฐานคุณวุฒิระดับอุดมศึกษาแห่งชาติ</t>
  </si>
  <si>
    <t>3. นักศึกษา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</si>
  <si>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</si>
  <si>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</si>
  <si>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</si>
  <si>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4. อาจารย์</t>
  </si>
  <si>
    <t>4.1 การบริหารและพัฒนาอาจารย์</t>
  </si>
  <si>
    <t>4.2 คุณภาพอาจารย์ - ร้อยละของอาจารย์ประจำหลักสูตรที่มีคุณวุฒิปริญญาเอก</t>
  </si>
  <si>
    <t>4.2 คุณภาพอาจารย์ - ร้อยละของอาจารย์ประจำหลักสูตรที่ดำรงตำแหน่งทางวิชาการ</t>
  </si>
  <si>
    <t>4.2 คุณภาพอาจารย์ - ผลงานทางวิชาการของอาจารย์ประจำหลักสูตร</t>
  </si>
  <si>
    <t>4.3 ผลที่เกิดกับอาจารย์</t>
  </si>
  <si>
    <t>5. หลักสูตร การเรียนการสอน การประเมินผู้เรียน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</si>
  <si>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</si>
  <si>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</si>
  <si>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</si>
  <si>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</si>
  <si>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 สิ่งสนับสนุนการเรียนรู้</t>
  </si>
  <si>
    <t>6.1 สิ่งสนับสนุนการเรียนรู้</t>
  </si>
  <si>
    <t>.</t>
  </si>
  <si>
    <t>ระดับคุณภาพ</t>
  </si>
  <si>
    <t>ผศ.ดร.บรรพต พิจิตรกำเนิด</t>
  </si>
  <si>
    <t>มหาวิทยาลัยสวนดุสิต</t>
  </si>
  <si>
    <t>พัฒนาโดย :</t>
  </si>
  <si>
    <t>ต้นแบบระบบคำนวนผลการตรวจประกันคุณภาพภายใน (หลักสูตร)</t>
  </si>
  <si>
    <t>ข้อมูลพื้นฐานของหลักสูตร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</si>
</sst>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87041E]d\ mmmm\ yyyy;@"/>
    <numFmt numFmtId="188" formatCode="0.000"/>
  </numFmts>
  <fonts count="3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0"/>
      <name val="TH SarabunPSK"/>
      <family val="2"/>
    </font>
    <font>
      <b/>
      <sz val="18"/>
      <color rgb="FF0070C0"/>
      <name val="TH SarabunPSK"/>
      <family val="2"/>
    </font>
    <font>
      <sz val="18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20"/>
      <color theme="0"/>
      <name val="TH SarabunPSK"/>
      <family val="2"/>
    </font>
    <font>
      <b/>
      <sz val="18"/>
      <color theme="0"/>
      <name val="TH SarabunPSK"/>
      <family val="2"/>
    </font>
    <font>
      <sz val="17"/>
      <color theme="0"/>
      <name val="TH SarabunPSK"/>
      <family val="2"/>
    </font>
    <font>
      <sz val="17"/>
      <color theme="1"/>
      <name val="TH SarabunPSK"/>
      <family val="2"/>
    </font>
    <font>
      <sz val="18"/>
      <name val="TH SarabunPSK"/>
      <family val="2"/>
    </font>
    <font>
      <b/>
      <sz val="26"/>
      <color theme="1"/>
      <name val="TH SarabunPSK"/>
      <family val="2"/>
    </font>
    <font>
      <sz val="17"/>
      <name val="TH SarabunPSK"/>
      <family val="2"/>
    </font>
    <font>
      <b/>
      <sz val="18"/>
      <color rgb="FF33CC33"/>
      <name val="TH SarabunPSK"/>
      <family val="2"/>
    </font>
    <font>
      <b/>
      <sz val="28"/>
      <name val="TH SarabunPSK"/>
      <family val="2"/>
    </font>
    <font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b/>
      <sz val="18"/>
      <color theme="0" tint="-4.9989318521683403E-2"/>
      <name val="TH SarabunPSK"/>
      <family val="2"/>
    </font>
    <font>
      <b/>
      <sz val="26"/>
      <name val="TH SarabunPSK"/>
      <family val="2"/>
    </font>
    <font>
      <b/>
      <sz val="48"/>
      <color rgb="FF0000FF"/>
      <name val="TH SarabunPSK"/>
      <family val="2"/>
    </font>
    <font>
      <sz val="48"/>
      <color theme="1"/>
      <name val="TH SarabunPSK"/>
      <family val="2"/>
    </font>
    <font>
      <sz val="16"/>
      <color theme="1"/>
      <name val="SP SUAN DUSIT"/>
    </font>
    <font>
      <b/>
      <sz val="36"/>
      <color theme="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5">
    <xf numFmtId="0" fontId="0" fillId="0" borderId="0" xfId="0"/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12" fillId="2" borderId="0" xfId="0" applyFont="1" applyFill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2" borderId="0" xfId="0" applyFont="1" applyFill="1" applyAlignment="1"/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Alignment="1"/>
    <xf numFmtId="0" fontId="14" fillId="2" borderId="0" xfId="0" applyFont="1" applyFill="1" applyAlignment="1"/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5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/>
    <xf numFmtId="0" fontId="3" fillId="4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16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2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/>
    <xf numFmtId="2" fontId="7" fillId="2" borderId="0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/>
    <xf numFmtId="2" fontId="6" fillId="2" borderId="1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7" fillId="2" borderId="0" xfId="0" applyFont="1" applyFill="1"/>
    <xf numFmtId="2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7" fillId="2" borderId="0" xfId="0" applyNumberFormat="1" applyFont="1" applyFill="1"/>
    <xf numFmtId="2" fontId="7" fillId="2" borderId="0" xfId="0" applyNumberFormat="1" applyFont="1" applyFill="1" applyAlignment="1">
      <alignment horizontal="left"/>
    </xf>
    <xf numFmtId="2" fontId="7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9" fontId="7" fillId="2" borderId="0" xfId="0" applyNumberFormat="1" applyFont="1" applyFill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2" fontId="7" fillId="2" borderId="0" xfId="0" applyNumberFormat="1" applyFont="1" applyFill="1" applyAlignment="1" applyProtection="1"/>
    <xf numFmtId="0" fontId="7" fillId="2" borderId="0" xfId="0" applyFont="1" applyFill="1" applyProtection="1"/>
    <xf numFmtId="0" fontId="13" fillId="2" borderId="0" xfId="0" applyFont="1" applyFill="1" applyProtection="1"/>
    <xf numFmtId="0" fontId="7" fillId="2" borderId="0" xfId="0" applyFont="1" applyFill="1" applyBorder="1" applyProtection="1"/>
    <xf numFmtId="0" fontId="13" fillId="2" borderId="0" xfId="0" applyFont="1" applyFill="1" applyAlignment="1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center"/>
    </xf>
    <xf numFmtId="0" fontId="13" fillId="2" borderId="0" xfId="0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2" fillId="2" borderId="0" xfId="0" applyFont="1" applyFill="1" applyAlignment="1"/>
    <xf numFmtId="0" fontId="23" fillId="2" borderId="0" xfId="0" applyFont="1" applyFill="1" applyAlignment="1"/>
    <xf numFmtId="0" fontId="7" fillId="2" borderId="0" xfId="0" applyFont="1" applyFill="1" applyAlignment="1" applyProtection="1">
      <alignment horizontal="center"/>
    </xf>
    <xf numFmtId="188" fontId="2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0" fontId="10" fillId="2" borderId="0" xfId="0" applyFont="1" applyFill="1" applyBorder="1" applyProtection="1"/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6" fillId="2" borderId="0" xfId="0" applyFont="1" applyFill="1" applyBorder="1" applyProtection="1"/>
    <xf numFmtId="0" fontId="16" fillId="2" borderId="6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/>
    <xf numFmtId="0" fontId="16" fillId="2" borderId="0" xfId="0" applyFont="1" applyFill="1" applyAlignment="1" applyProtection="1"/>
    <xf numFmtId="0" fontId="10" fillId="2" borderId="0" xfId="0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left"/>
    </xf>
    <xf numFmtId="2" fontId="16" fillId="2" borderId="0" xfId="0" applyNumberFormat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Alignment="1" applyProtection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9" fontId="13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horizontal="center" vertical="center"/>
    </xf>
    <xf numFmtId="9" fontId="7" fillId="2" borderId="0" xfId="1" applyFont="1" applyFill="1" applyAlignment="1">
      <alignment horizontal="center"/>
    </xf>
    <xf numFmtId="0" fontId="7" fillId="2" borderId="0" xfId="0" applyFont="1" applyFill="1" applyAlignment="1">
      <alignment vertical="center"/>
    </xf>
    <xf numFmtId="2" fontId="3" fillId="13" borderId="2" xfId="0" applyNumberFormat="1" applyFont="1" applyFill="1" applyBorder="1" applyAlignment="1"/>
    <xf numFmtId="2" fontId="24" fillId="13" borderId="3" xfId="0" applyNumberFormat="1" applyFont="1" applyFill="1" applyBorder="1" applyAlignment="1">
      <alignment horizontal="center"/>
    </xf>
    <xf numFmtId="2" fontId="24" fillId="13" borderId="1" xfId="0" applyNumberFormat="1" applyFont="1" applyFill="1" applyBorder="1" applyAlignment="1">
      <alignment horizontal="center"/>
    </xf>
    <xf numFmtId="0" fontId="7" fillId="2" borderId="0" xfId="0" applyFont="1" applyFill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left"/>
    </xf>
    <xf numFmtId="2" fontId="16" fillId="2" borderId="1" xfId="0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Protection="1"/>
    <xf numFmtId="0" fontId="16" fillId="2" borderId="1" xfId="0" applyFont="1" applyFill="1" applyBorder="1" applyAlignment="1" applyProtection="1"/>
    <xf numFmtId="2" fontId="10" fillId="2" borderId="1" xfId="0" applyNumberFormat="1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2" fontId="24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</xf>
    <xf numFmtId="187" fontId="10" fillId="2" borderId="6" xfId="0" applyNumberFormat="1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2" fontId="7" fillId="2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0" fillId="4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4" fillId="9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4" fillId="10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4" fillId="11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0" fillId="2" borderId="9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wrapText="1"/>
    </xf>
    <xf numFmtId="0" fontId="10" fillId="12" borderId="1" xfId="0" applyFont="1" applyFill="1" applyBorder="1" applyAlignment="1" applyProtection="1">
      <alignment horizontal="left"/>
    </xf>
    <xf numFmtId="0" fontId="10" fillId="16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0" fontId="10" fillId="7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0" fillId="15" borderId="1" xfId="0" applyFont="1" applyFill="1" applyBorder="1" applyAlignment="1" applyProtection="1">
      <alignment horizontal="left"/>
    </xf>
    <xf numFmtId="0" fontId="10" fillId="14" borderId="1" xfId="0" applyFont="1" applyFill="1" applyBorder="1" applyAlignment="1" applyProtection="1">
      <alignment horizontal="left"/>
    </xf>
    <xf numFmtId="0" fontId="1" fillId="2" borderId="0" xfId="0" applyFont="1" applyFill="1" applyProtection="1"/>
    <xf numFmtId="0" fontId="26" fillId="2" borderId="0" xfId="0" applyFont="1" applyFill="1" applyAlignment="1" applyProtection="1">
      <alignment horizontal="center"/>
    </xf>
    <xf numFmtId="0" fontId="27" fillId="2" borderId="0" xfId="0" applyFont="1" applyFill="1" applyProtection="1"/>
    <xf numFmtId="0" fontId="28" fillId="2" borderId="0" xfId="0" applyFont="1" applyFill="1" applyProtection="1"/>
    <xf numFmtId="0" fontId="29" fillId="17" borderId="0" xfId="0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52">
    <dxf>
      <fill>
        <patternFill>
          <bgColor rgb="FFFF3300"/>
        </patternFill>
      </fill>
    </dxf>
    <dxf>
      <fill>
        <patternFill>
          <bgColor rgb="FFFF9966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66FF33"/>
        </patternFill>
      </fill>
    </dxf>
    <dxf>
      <font>
        <color rgb="FF33CC33"/>
      </font>
    </dxf>
    <dxf>
      <font>
        <color rgb="FF33CC33"/>
      </font>
    </dxf>
    <dxf>
      <font>
        <color rgb="FFFF0000"/>
      </font>
    </dxf>
    <dxf>
      <font>
        <color rgb="FF0070C0"/>
      </font>
      <fill>
        <patternFill>
          <bgColor rgb="FF99FF33"/>
        </patternFill>
      </fill>
    </dxf>
    <dxf>
      <font>
        <color rgb="FF0070C0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FFFF00"/>
      </font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33CC33"/>
        </patternFill>
      </fill>
    </dxf>
    <dxf>
      <fill>
        <patternFill>
          <bgColor rgb="FF72DC6A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72DC6A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72DC6A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72DC6A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66FF66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7C80"/>
        </patternFill>
      </fill>
    </dxf>
    <dxf>
      <font>
        <color theme="1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66FF99"/>
      <color rgb="FF00CC00"/>
      <color rgb="FFCC66FF"/>
      <color rgb="FF66FF66"/>
      <color rgb="FF66FFFF"/>
      <color rgb="FFFF99FF"/>
      <color rgb="FF66FF33"/>
      <color rgb="FFCC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3623;&#3636;&#3648;&#3588;&#3619;&#3634;&#3632;&#3627;&#3660;&#3588;&#3640;&#3603;&#3616;&#3634;&#3614;!A1"/><Relationship Id="rId3" Type="http://schemas.openxmlformats.org/officeDocument/2006/relationships/hyperlink" Target="#'&#3629;&#3591;&#3588;&#3660; 2'!A1"/><Relationship Id="rId7" Type="http://schemas.openxmlformats.org/officeDocument/2006/relationships/hyperlink" Target="#'&#3629;&#3591;&#3588;&#3660; 6'!A1"/><Relationship Id="rId2" Type="http://schemas.openxmlformats.org/officeDocument/2006/relationships/hyperlink" Target="#'&#3629;&#3591;&#3588;&#3660; 1'!A1"/><Relationship Id="rId1" Type="http://schemas.openxmlformats.org/officeDocument/2006/relationships/hyperlink" Target="#DataSet!A1"/><Relationship Id="rId6" Type="http://schemas.openxmlformats.org/officeDocument/2006/relationships/hyperlink" Target="#'&#3629;&#3591;&#3588;&#3660; 5'!A1"/><Relationship Id="rId5" Type="http://schemas.openxmlformats.org/officeDocument/2006/relationships/hyperlink" Target="#'&#3629;&#3591;&#3588;&#3660; 4'!A1"/><Relationship Id="rId4" Type="http://schemas.openxmlformats.org/officeDocument/2006/relationships/hyperlink" Target="#'&#3629;&#3591;&#3588;&#3660; 3'!A1"/><Relationship Id="rId9" Type="http://schemas.openxmlformats.org/officeDocument/2006/relationships/hyperlink" Target="#&#3612;&#3621;&#3611;&#3619;&#3632;&#3648;&#3617;&#3636;&#3609;&#3605;&#3634;&#3617;&#3605;&#3633;&#3623;&#3610;&#3656;&#3591;&#3594;&#3637;&#365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1</xdr:row>
      <xdr:rowOff>238126</xdr:rowOff>
    </xdr:from>
    <xdr:to>
      <xdr:col>5</xdr:col>
      <xdr:colOff>219074</xdr:colOff>
      <xdr:row>3</xdr:row>
      <xdr:rowOff>104776</xdr:rowOff>
    </xdr:to>
    <xdr:sp macro="" textlink="">
      <xdr:nvSpPr>
        <xdr:cNvPr id="50" name="Rounded Rectangle 49">
          <a:hlinkClick xmlns:r="http://schemas.openxmlformats.org/officeDocument/2006/relationships" r:id="rId1"/>
        </xdr:cNvPr>
        <xdr:cNvSpPr/>
      </xdr:nvSpPr>
      <xdr:spPr>
        <a:xfrm>
          <a:off x="1028699" y="1143001"/>
          <a:ext cx="2619375" cy="476250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ข้อมูลพื้นฐานของหลักสูตร</a:t>
          </a:r>
        </a:p>
      </xdr:txBody>
    </xdr:sp>
    <xdr:clientData/>
  </xdr:twoCellAnchor>
  <xdr:twoCellAnchor>
    <xdr:from>
      <xdr:col>6</xdr:col>
      <xdr:colOff>285749</xdr:colOff>
      <xdr:row>1</xdr:row>
      <xdr:rowOff>238126</xdr:rowOff>
    </xdr:from>
    <xdr:to>
      <xdr:col>10</xdr:col>
      <xdr:colOff>161924</xdr:colOff>
      <xdr:row>3</xdr:row>
      <xdr:rowOff>104776</xdr:rowOff>
    </xdr:to>
    <xdr:sp macro="" textlink="">
      <xdr:nvSpPr>
        <xdr:cNvPr id="51" name="Rounded Rectangle 50">
          <a:hlinkClick xmlns:r="http://schemas.openxmlformats.org/officeDocument/2006/relationships" r:id="rId2"/>
        </xdr:cNvPr>
        <xdr:cNvSpPr/>
      </xdr:nvSpPr>
      <xdr:spPr>
        <a:xfrm>
          <a:off x="4400549" y="1143001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1</a:t>
          </a:r>
        </a:p>
      </xdr:txBody>
    </xdr:sp>
    <xdr:clientData/>
  </xdr:twoCellAnchor>
  <xdr:twoCellAnchor>
    <xdr:from>
      <xdr:col>6</xdr:col>
      <xdr:colOff>276224</xdr:colOff>
      <xdr:row>3</xdr:row>
      <xdr:rowOff>228601</xdr:rowOff>
    </xdr:from>
    <xdr:to>
      <xdr:col>10</xdr:col>
      <xdr:colOff>152399</xdr:colOff>
      <xdr:row>5</xdr:row>
      <xdr:rowOff>95251</xdr:rowOff>
    </xdr:to>
    <xdr:sp macro="" textlink="">
      <xdr:nvSpPr>
        <xdr:cNvPr id="52" name="Rounded Rectangle 51">
          <a:hlinkClick xmlns:r="http://schemas.openxmlformats.org/officeDocument/2006/relationships" r:id="rId3"/>
        </xdr:cNvPr>
        <xdr:cNvSpPr/>
      </xdr:nvSpPr>
      <xdr:spPr>
        <a:xfrm>
          <a:off x="4391024" y="1743076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2</a:t>
          </a:r>
        </a:p>
      </xdr:txBody>
    </xdr:sp>
    <xdr:clientData/>
  </xdr:twoCellAnchor>
  <xdr:twoCellAnchor>
    <xdr:from>
      <xdr:col>6</xdr:col>
      <xdr:colOff>276224</xdr:colOff>
      <xdr:row>5</xdr:row>
      <xdr:rowOff>219076</xdr:rowOff>
    </xdr:from>
    <xdr:to>
      <xdr:col>10</xdr:col>
      <xdr:colOff>152399</xdr:colOff>
      <xdr:row>7</xdr:row>
      <xdr:rowOff>85726</xdr:rowOff>
    </xdr:to>
    <xdr:sp macro="" textlink="">
      <xdr:nvSpPr>
        <xdr:cNvPr id="53" name="Rounded Rectangle 52">
          <a:hlinkClick xmlns:r="http://schemas.openxmlformats.org/officeDocument/2006/relationships" r:id="rId4"/>
        </xdr:cNvPr>
        <xdr:cNvSpPr/>
      </xdr:nvSpPr>
      <xdr:spPr>
        <a:xfrm>
          <a:off x="4391024" y="2343151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3</a:t>
          </a:r>
        </a:p>
      </xdr:txBody>
    </xdr:sp>
    <xdr:clientData/>
  </xdr:twoCellAnchor>
  <xdr:twoCellAnchor>
    <xdr:from>
      <xdr:col>6</xdr:col>
      <xdr:colOff>266699</xdr:colOff>
      <xdr:row>7</xdr:row>
      <xdr:rowOff>219076</xdr:rowOff>
    </xdr:from>
    <xdr:to>
      <xdr:col>10</xdr:col>
      <xdr:colOff>142874</xdr:colOff>
      <xdr:row>9</xdr:row>
      <xdr:rowOff>85726</xdr:rowOff>
    </xdr:to>
    <xdr:sp macro="" textlink="">
      <xdr:nvSpPr>
        <xdr:cNvPr id="54" name="Rounded Rectangle 53">
          <a:hlinkClick xmlns:r="http://schemas.openxmlformats.org/officeDocument/2006/relationships" r:id="rId5"/>
        </xdr:cNvPr>
        <xdr:cNvSpPr/>
      </xdr:nvSpPr>
      <xdr:spPr>
        <a:xfrm>
          <a:off x="4381499" y="2952751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4</a:t>
          </a:r>
        </a:p>
      </xdr:txBody>
    </xdr:sp>
    <xdr:clientData/>
  </xdr:twoCellAnchor>
  <xdr:twoCellAnchor>
    <xdr:from>
      <xdr:col>6</xdr:col>
      <xdr:colOff>257174</xdr:colOff>
      <xdr:row>9</xdr:row>
      <xdr:rowOff>228601</xdr:rowOff>
    </xdr:from>
    <xdr:to>
      <xdr:col>10</xdr:col>
      <xdr:colOff>133349</xdr:colOff>
      <xdr:row>11</xdr:row>
      <xdr:rowOff>95251</xdr:rowOff>
    </xdr:to>
    <xdr:sp macro="" textlink="">
      <xdr:nvSpPr>
        <xdr:cNvPr id="55" name="Rounded Rectangle 54">
          <a:hlinkClick xmlns:r="http://schemas.openxmlformats.org/officeDocument/2006/relationships" r:id="rId6"/>
        </xdr:cNvPr>
        <xdr:cNvSpPr/>
      </xdr:nvSpPr>
      <xdr:spPr>
        <a:xfrm>
          <a:off x="4371974" y="3571876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5</a:t>
          </a:r>
        </a:p>
      </xdr:txBody>
    </xdr:sp>
    <xdr:clientData/>
  </xdr:twoCellAnchor>
  <xdr:twoCellAnchor>
    <xdr:from>
      <xdr:col>6</xdr:col>
      <xdr:colOff>257174</xdr:colOff>
      <xdr:row>11</xdr:row>
      <xdr:rowOff>238126</xdr:rowOff>
    </xdr:from>
    <xdr:to>
      <xdr:col>10</xdr:col>
      <xdr:colOff>133349</xdr:colOff>
      <xdr:row>13</xdr:row>
      <xdr:rowOff>104776</xdr:rowOff>
    </xdr:to>
    <xdr:sp macro="" textlink="">
      <xdr:nvSpPr>
        <xdr:cNvPr id="56" name="Rounded Rectangle 55">
          <a:hlinkClick xmlns:r="http://schemas.openxmlformats.org/officeDocument/2006/relationships" r:id="rId7"/>
        </xdr:cNvPr>
        <xdr:cNvSpPr/>
      </xdr:nvSpPr>
      <xdr:spPr>
        <a:xfrm>
          <a:off x="4371974" y="4191001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6</a:t>
          </a:r>
        </a:p>
      </xdr:txBody>
    </xdr:sp>
    <xdr:clientData/>
  </xdr:twoCellAnchor>
  <xdr:twoCellAnchor>
    <xdr:from>
      <xdr:col>10</xdr:col>
      <xdr:colOff>876299</xdr:colOff>
      <xdr:row>1</xdr:row>
      <xdr:rowOff>238126</xdr:rowOff>
    </xdr:from>
    <xdr:to>
      <xdr:col>14</xdr:col>
      <xdr:colOff>542924</xdr:colOff>
      <xdr:row>3</xdr:row>
      <xdr:rowOff>104776</xdr:rowOff>
    </xdr:to>
    <xdr:sp macro="" textlink="">
      <xdr:nvSpPr>
        <xdr:cNvPr id="57" name="Rounded Rectangle 56">
          <a:hlinkClick xmlns:r="http://schemas.openxmlformats.org/officeDocument/2006/relationships" r:id="rId8"/>
        </xdr:cNvPr>
        <xdr:cNvSpPr/>
      </xdr:nvSpPr>
      <xdr:spPr>
        <a:xfrm>
          <a:off x="7734299" y="1143001"/>
          <a:ext cx="2619375" cy="476250"/>
        </a:xfrm>
        <a:prstGeom prst="roundRect">
          <a:avLst/>
        </a:prstGeom>
        <a:solidFill>
          <a:srgbClr val="00CC0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ผลการวิเคราะห์คุณภาพ</a:t>
          </a:r>
        </a:p>
      </xdr:txBody>
    </xdr:sp>
    <xdr:clientData/>
  </xdr:twoCellAnchor>
  <xdr:twoCellAnchor>
    <xdr:from>
      <xdr:col>10</xdr:col>
      <xdr:colOff>866774</xdr:colOff>
      <xdr:row>3</xdr:row>
      <xdr:rowOff>228601</xdr:rowOff>
    </xdr:from>
    <xdr:to>
      <xdr:col>14</xdr:col>
      <xdr:colOff>533399</xdr:colOff>
      <xdr:row>5</xdr:row>
      <xdr:rowOff>95251</xdr:rowOff>
    </xdr:to>
    <xdr:sp macro="" textlink="">
      <xdr:nvSpPr>
        <xdr:cNvPr id="58" name="Rounded Rectangle 57">
          <a:hlinkClick xmlns:r="http://schemas.openxmlformats.org/officeDocument/2006/relationships" r:id="rId9"/>
        </xdr:cNvPr>
        <xdr:cNvSpPr/>
      </xdr:nvSpPr>
      <xdr:spPr>
        <a:xfrm>
          <a:off x="7724774" y="1743076"/>
          <a:ext cx="2619375" cy="476250"/>
        </a:xfrm>
        <a:prstGeom prst="roundRect">
          <a:avLst/>
        </a:prstGeom>
        <a:solidFill>
          <a:srgbClr val="00CC0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ผลประเมินตามตัวบ่งชี้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66675</xdr:rowOff>
    </xdr:from>
    <xdr:to>
      <xdr:col>4</xdr:col>
      <xdr:colOff>539665</xdr:colOff>
      <xdr:row>0</xdr:row>
      <xdr:rowOff>440870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6667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66675</xdr:rowOff>
    </xdr:from>
    <xdr:to>
      <xdr:col>17</xdr:col>
      <xdr:colOff>444415</xdr:colOff>
      <xdr:row>0</xdr:row>
      <xdr:rowOff>440870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667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47625</xdr:rowOff>
    </xdr:from>
    <xdr:to>
      <xdr:col>9</xdr:col>
      <xdr:colOff>549190</xdr:colOff>
      <xdr:row>1</xdr:row>
      <xdr:rowOff>31295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4762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38100</xdr:rowOff>
    </xdr:from>
    <xdr:to>
      <xdr:col>10</xdr:col>
      <xdr:colOff>492040</xdr:colOff>
      <xdr:row>1</xdr:row>
      <xdr:rowOff>21770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8100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47625</xdr:rowOff>
    </xdr:from>
    <xdr:to>
      <xdr:col>8</xdr:col>
      <xdr:colOff>520615</xdr:colOff>
      <xdr:row>1</xdr:row>
      <xdr:rowOff>31295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762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66675</xdr:rowOff>
    </xdr:from>
    <xdr:to>
      <xdr:col>8</xdr:col>
      <xdr:colOff>520615</xdr:colOff>
      <xdr:row>1</xdr:row>
      <xdr:rowOff>50345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667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57150</xdr:rowOff>
    </xdr:from>
    <xdr:to>
      <xdr:col>8</xdr:col>
      <xdr:colOff>511090</xdr:colOff>
      <xdr:row>1</xdr:row>
      <xdr:rowOff>40820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7150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66675</xdr:rowOff>
    </xdr:from>
    <xdr:to>
      <xdr:col>9</xdr:col>
      <xdr:colOff>149140</xdr:colOff>
      <xdr:row>1</xdr:row>
      <xdr:rowOff>50345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6667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12</xdr:row>
      <xdr:rowOff>180975</xdr:rowOff>
    </xdr:from>
    <xdr:ext cx="184731" cy="262572"/>
    <xdr:sp macro="" textlink="">
      <xdr:nvSpPr>
        <xdr:cNvPr id="2" name="TextBox 1"/>
        <xdr:cNvSpPr txBox="1"/>
      </xdr:nvSpPr>
      <xdr:spPr>
        <a:xfrm>
          <a:off x="1447800" y="4133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20</xdr:col>
      <xdr:colOff>85725</xdr:colOff>
      <xdr:row>3</xdr:row>
      <xdr:rowOff>85725</xdr:rowOff>
    </xdr:from>
    <xdr:to>
      <xdr:col>20</xdr:col>
      <xdr:colOff>530140</xdr:colOff>
      <xdr:row>5</xdr:row>
      <xdr:rowOff>12245</xdr:rowOff>
    </xdr:to>
    <xdr:pic>
      <xdr:nvPicPr>
        <xdr:cNvPr id="3" name="Picture 2" descr="https://www.nscrypt.com/wp-content/uploads/2015/08/icon-menu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1123950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sqref="A1:XFD1048576"/>
    </sheetView>
  </sheetViews>
  <sheetFormatPr defaultRowHeight="24" x14ac:dyDescent="0.55000000000000004"/>
  <cols>
    <col min="1" max="10" width="9" style="220"/>
    <col min="11" max="11" width="11.75" style="220" customWidth="1"/>
    <col min="12" max="16384" width="9" style="220"/>
  </cols>
  <sheetData>
    <row r="1" spans="1:17" s="222" customFormat="1" ht="71.25" x14ac:dyDescent="1.55">
      <c r="A1" s="221" t="s">
        <v>215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11" spans="1:17" x14ac:dyDescent="0.55000000000000004">
      <c r="L11" s="223" t="s">
        <v>214</v>
      </c>
      <c r="M11" s="220" t="s">
        <v>212</v>
      </c>
    </row>
    <row r="12" spans="1:17" x14ac:dyDescent="0.55000000000000004">
      <c r="M12" s="220" t="s">
        <v>213</v>
      </c>
    </row>
  </sheetData>
  <sheetProtection algorithmName="SHA-512" hashValue="NKrVVfHWEisHafy/OyRByNOWdcNUARo3T5P3UmR3IvCWbfL6+1xGi/ljAqmxpTldCQmRRIUOylrhmXfrnL40IQ==" saltValue="jSohPG8u5wo/EPpWiacqRQ==" spinCount="100000" sheet="1" objects="1" scenarios="1" selectLockedCells="1"/>
  <mergeCells count="1">
    <mergeCell ref="A1:Q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A5" sqref="A5:D5"/>
    </sheetView>
  </sheetViews>
  <sheetFormatPr defaultRowHeight="27.75" x14ac:dyDescent="0.65"/>
  <cols>
    <col min="1" max="1" width="2.875" style="124" customWidth="1"/>
    <col min="2" max="2" width="77.25" style="132" bestFit="1" customWidth="1"/>
    <col min="3" max="3" width="13.625" style="123" customWidth="1"/>
    <col min="4" max="4" width="30" style="123" customWidth="1"/>
    <col min="5" max="5" width="10" style="123" customWidth="1"/>
    <col min="6" max="8" width="9.125" style="123" customWidth="1"/>
    <col min="9" max="16384" width="9" style="124"/>
  </cols>
  <sheetData>
    <row r="1" spans="1:8" s="121" customFormat="1" ht="39.75" x14ac:dyDescent="0.9">
      <c r="A1" s="215" t="s">
        <v>187</v>
      </c>
      <c r="B1" s="215"/>
      <c r="C1" s="215"/>
      <c r="D1" s="215"/>
      <c r="E1" s="120"/>
      <c r="F1" s="120"/>
      <c r="G1" s="120"/>
      <c r="H1" s="120"/>
    </row>
    <row r="2" spans="1:8" s="121" customFormat="1" x14ac:dyDescent="0.65">
      <c r="A2" s="214" t="s">
        <v>147</v>
      </c>
      <c r="B2" s="214"/>
      <c r="C2" s="151" t="s">
        <v>175</v>
      </c>
      <c r="D2" s="151" t="s">
        <v>188</v>
      </c>
      <c r="E2" s="120"/>
      <c r="F2" s="120"/>
      <c r="G2" s="120"/>
      <c r="H2" s="120"/>
    </row>
    <row r="3" spans="1:8" s="121" customFormat="1" x14ac:dyDescent="0.65">
      <c r="A3" s="216" t="s">
        <v>189</v>
      </c>
      <c r="B3" s="216"/>
      <c r="C3" s="216"/>
      <c r="D3" s="216"/>
      <c r="E3" s="120"/>
      <c r="F3" s="120"/>
      <c r="G3" s="120"/>
      <c r="H3" s="120"/>
    </row>
    <row r="4" spans="1:8" s="121" customFormat="1" x14ac:dyDescent="0.65">
      <c r="A4" s="150"/>
      <c r="B4" s="150" t="s">
        <v>190</v>
      </c>
      <c r="C4" s="151" t="str">
        <f>IF(วิเคราะห์คุณภาพ!O6=DataSet!E19,"ผ่านเกณฑ์","ไม่ผ่านเกณฑ์")</f>
        <v>ไม่ผ่านเกณฑ์</v>
      </c>
      <c r="D4" s="151"/>
      <c r="E4" s="120"/>
      <c r="F4" s="120"/>
      <c r="G4" s="120"/>
      <c r="H4" s="120"/>
    </row>
    <row r="5" spans="1:8" s="121" customFormat="1" x14ac:dyDescent="0.65">
      <c r="A5" s="217" t="s">
        <v>191</v>
      </c>
      <c r="B5" s="217"/>
      <c r="C5" s="217"/>
      <c r="D5" s="217"/>
      <c r="E5" s="120"/>
      <c r="F5" s="120"/>
      <c r="G5" s="120"/>
      <c r="H5" s="120"/>
    </row>
    <row r="6" spans="1:8" x14ac:dyDescent="0.65">
      <c r="A6" s="150"/>
      <c r="B6" s="152" t="s">
        <v>192</v>
      </c>
      <c r="C6" s="157">
        <f>'องค์ 2'!K5</f>
        <v>0</v>
      </c>
      <c r="D6" s="154"/>
      <c r="F6" s="133"/>
      <c r="G6" s="133"/>
      <c r="H6" s="133"/>
    </row>
    <row r="7" spans="1:8" x14ac:dyDescent="0.65">
      <c r="A7" s="155"/>
      <c r="B7" s="152" t="str">
        <f>IF(DataSet!B3=DataSet!C19,"2.2 ภาวะการมีงานทำของบัณฑิตภายในระยะเวลา 1 ปี",IF(DataSet!B3=DataSet!C20,"2.2 ผลงานของนักศึกษาและผู้สำเร็จการศึกษาในระดับปริญญาโทที่ได้รับการตีพิมพ์หรือเผยแพร่","2.2 ผลงานของนักศึกษาและผู้สำเร็จการศึกษาในระดับปริญญาเอกที่ได้รับการตีพิมพ์หรือเผยแพร่"))</f>
        <v>2.2 ผลงานของนักศึกษาและผู้สำเร็จการศึกษาในระดับปริญญาเอกที่ได้รับการตีพิมพ์หรือเผยแพร่</v>
      </c>
      <c r="C7" s="157">
        <f>IF(DataSet!B3=DataSet!C19,'องค์ 2'!L8,IF(DataSet!B3=DataSet!C20,'องค์ 2'!L18,'องค์ 2'!L21))</f>
        <v>0</v>
      </c>
      <c r="D7" s="153"/>
      <c r="E7" s="133"/>
      <c r="F7" s="133"/>
      <c r="G7" s="133"/>
      <c r="H7" s="133"/>
    </row>
    <row r="8" spans="1:8" x14ac:dyDescent="0.65">
      <c r="A8" s="219" t="s">
        <v>193</v>
      </c>
      <c r="B8" s="219"/>
      <c r="C8" s="219"/>
      <c r="D8" s="219"/>
      <c r="E8" s="133"/>
    </row>
    <row r="9" spans="1:8" x14ac:dyDescent="0.65">
      <c r="A9" s="155"/>
      <c r="B9" s="152" t="s">
        <v>194</v>
      </c>
      <c r="C9" s="157">
        <f>'องค์ 3'!I4</f>
        <v>0</v>
      </c>
      <c r="D9" s="154"/>
    </row>
    <row r="10" spans="1:8" x14ac:dyDescent="0.65">
      <c r="A10" s="155"/>
      <c r="B10" s="152" t="s">
        <v>195</v>
      </c>
      <c r="C10" s="157">
        <f>'องค์ 3'!I6</f>
        <v>0</v>
      </c>
      <c r="D10" s="154"/>
    </row>
    <row r="11" spans="1:8" x14ac:dyDescent="0.65">
      <c r="A11" s="155"/>
      <c r="B11" s="152" t="s">
        <v>196</v>
      </c>
      <c r="C11" s="157">
        <f>'องค์ 3'!I8</f>
        <v>0</v>
      </c>
      <c r="D11" s="153"/>
      <c r="E11" s="133"/>
    </row>
    <row r="12" spans="1:8" x14ac:dyDescent="0.65">
      <c r="A12" s="218" t="s">
        <v>197</v>
      </c>
      <c r="B12" s="218"/>
      <c r="C12" s="218"/>
      <c r="D12" s="218"/>
      <c r="E12" s="133"/>
    </row>
    <row r="13" spans="1:8" x14ac:dyDescent="0.65">
      <c r="A13" s="155"/>
      <c r="B13" s="152" t="s">
        <v>198</v>
      </c>
      <c r="C13" s="157">
        <f>'องค์ 4'!I4</f>
        <v>0</v>
      </c>
      <c r="D13" s="154"/>
    </row>
    <row r="14" spans="1:8" x14ac:dyDescent="0.65">
      <c r="A14" s="156"/>
      <c r="B14" s="152" t="s">
        <v>199</v>
      </c>
      <c r="C14" s="157" t="e">
        <f>'องค์ 4'!I6</f>
        <v>#DIV/0!</v>
      </c>
      <c r="D14" s="153"/>
      <c r="E14" s="133"/>
    </row>
    <row r="15" spans="1:8" x14ac:dyDescent="0.65">
      <c r="A15" s="156"/>
      <c r="B15" s="152" t="s">
        <v>200</v>
      </c>
      <c r="C15" s="157" t="e">
        <f>'องค์ 4'!I7</f>
        <v>#DIV/0!</v>
      </c>
      <c r="D15" s="153"/>
      <c r="E15" s="133"/>
    </row>
    <row r="16" spans="1:8" x14ac:dyDescent="0.65">
      <c r="A16" s="156"/>
      <c r="B16" s="152" t="s">
        <v>201</v>
      </c>
      <c r="C16" s="157" t="e">
        <f>'องค์ 4'!I8</f>
        <v>#DIV/0!</v>
      </c>
      <c r="D16" s="153"/>
      <c r="E16" s="133"/>
    </row>
    <row r="17" spans="1:8" x14ac:dyDescent="0.65">
      <c r="A17" s="156"/>
      <c r="B17" s="152" t="str">
        <f>IF(DataSet!B3=DataSet!C21,"4.2 จำนวนบทความของอาจารย์ประจำหลักสูตรปริญญาเอกที่ได้รับการอ้างอิง"," ")</f>
        <v xml:space="preserve"> </v>
      </c>
      <c r="C17" s="157" t="str">
        <f>'องค์ 4'!I9</f>
        <v xml:space="preserve"> </v>
      </c>
      <c r="D17" s="153"/>
      <c r="E17" s="133"/>
    </row>
    <row r="18" spans="1:8" x14ac:dyDescent="0.65">
      <c r="A18" s="156"/>
      <c r="B18" s="152" t="s">
        <v>202</v>
      </c>
      <c r="C18" s="157">
        <f>'องค์ 4'!I11</f>
        <v>0</v>
      </c>
      <c r="D18" s="154"/>
    </row>
    <row r="19" spans="1:8" x14ac:dyDescent="0.65">
      <c r="A19" s="212" t="s">
        <v>203</v>
      </c>
      <c r="B19" s="212"/>
      <c r="C19" s="212"/>
      <c r="D19" s="212"/>
    </row>
    <row r="20" spans="1:8" x14ac:dyDescent="0.65">
      <c r="A20" s="156"/>
      <c r="B20" s="152" t="s">
        <v>204</v>
      </c>
      <c r="C20" s="157">
        <f>'องค์ 5'!I4</f>
        <v>0</v>
      </c>
      <c r="D20" s="153"/>
      <c r="E20" s="133"/>
    </row>
    <row r="21" spans="1:8" x14ac:dyDescent="0.65">
      <c r="A21" s="156"/>
      <c r="B21" s="152" t="s">
        <v>205</v>
      </c>
      <c r="C21" s="157">
        <f>'องค์ 5'!I6</f>
        <v>0</v>
      </c>
      <c r="D21" s="154"/>
    </row>
    <row r="22" spans="1:8" x14ac:dyDescent="0.65">
      <c r="A22" s="155"/>
      <c r="B22" s="152" t="s">
        <v>206</v>
      </c>
      <c r="C22" s="157">
        <f>'องค์ 5'!I8</f>
        <v>0</v>
      </c>
      <c r="D22" s="154"/>
    </row>
    <row r="23" spans="1:8" x14ac:dyDescent="0.65">
      <c r="A23" s="155"/>
      <c r="B23" s="152" t="s">
        <v>207</v>
      </c>
      <c r="C23" s="157" t="e">
        <f>'องค์ 5'!K12</f>
        <v>#DIV/0!</v>
      </c>
      <c r="D23" s="153"/>
      <c r="E23" s="133"/>
    </row>
    <row r="24" spans="1:8" x14ac:dyDescent="0.65">
      <c r="A24" s="213" t="s">
        <v>208</v>
      </c>
      <c r="B24" s="213"/>
      <c r="C24" s="213"/>
      <c r="D24" s="213"/>
      <c r="E24" s="133"/>
    </row>
    <row r="25" spans="1:8" s="100" customFormat="1" x14ac:dyDescent="0.65">
      <c r="A25" s="155"/>
      <c r="B25" s="152" t="s">
        <v>209</v>
      </c>
      <c r="C25" s="157">
        <f>'องค์ 6'!I4</f>
        <v>0</v>
      </c>
      <c r="D25" s="153"/>
      <c r="E25" s="133"/>
      <c r="F25" s="123"/>
      <c r="G25" s="123"/>
      <c r="H25" s="123"/>
    </row>
    <row r="26" spans="1:8" s="100" customFormat="1" x14ac:dyDescent="0.65">
      <c r="A26" s="124"/>
      <c r="B26" s="132"/>
      <c r="C26" s="123"/>
      <c r="D26" s="123"/>
      <c r="E26" s="123"/>
      <c r="F26" s="123"/>
      <c r="G26" s="123"/>
      <c r="H26" s="123"/>
    </row>
    <row r="27" spans="1:8" s="100" customFormat="1" x14ac:dyDescent="0.65">
      <c r="A27" s="124"/>
      <c r="B27" s="132"/>
      <c r="C27" s="123"/>
      <c r="D27" s="123"/>
      <c r="E27" s="123"/>
      <c r="F27" s="123"/>
      <c r="G27" s="123"/>
      <c r="H27" s="123"/>
    </row>
    <row r="28" spans="1:8" s="100" customFormat="1" x14ac:dyDescent="0.65">
      <c r="A28" s="124"/>
      <c r="B28" s="132"/>
      <c r="C28" s="123"/>
      <c r="D28" s="123"/>
      <c r="E28" s="123"/>
      <c r="F28" s="123"/>
      <c r="G28" s="123"/>
      <c r="H28" s="123"/>
    </row>
    <row r="29" spans="1:8" s="100" customFormat="1" x14ac:dyDescent="0.65">
      <c r="A29" s="124"/>
      <c r="B29" s="132"/>
      <c r="C29" s="123"/>
      <c r="D29" s="123"/>
      <c r="E29" s="123"/>
      <c r="F29" s="123"/>
      <c r="G29" s="123"/>
      <c r="H29" s="123"/>
    </row>
    <row r="30" spans="1:8" s="100" customFormat="1" x14ac:dyDescent="0.65">
      <c r="A30" s="124"/>
      <c r="B30" s="132"/>
      <c r="C30" s="123"/>
      <c r="D30" s="123"/>
      <c r="E30" s="123"/>
      <c r="F30" s="123"/>
      <c r="G30" s="123"/>
      <c r="H30" s="123"/>
    </row>
    <row r="31" spans="1:8" s="100" customFormat="1" x14ac:dyDescent="0.65">
      <c r="A31" s="124"/>
      <c r="B31" s="132"/>
      <c r="C31" s="123"/>
      <c r="D31" s="123"/>
      <c r="E31" s="123"/>
      <c r="F31" s="123"/>
      <c r="G31" s="123"/>
      <c r="H31" s="123"/>
    </row>
    <row r="32" spans="1:8" s="100" customFormat="1" x14ac:dyDescent="0.65">
      <c r="A32" s="124"/>
      <c r="B32" s="132"/>
      <c r="C32" s="123"/>
      <c r="D32" s="123"/>
      <c r="E32" s="123"/>
      <c r="F32" s="123"/>
      <c r="G32" s="123"/>
      <c r="H32" s="123"/>
    </row>
    <row r="33" spans="1:8" s="100" customFormat="1" x14ac:dyDescent="0.65">
      <c r="A33" s="124"/>
      <c r="B33" s="132"/>
      <c r="C33" s="123"/>
      <c r="D33" s="123"/>
      <c r="E33" s="123"/>
      <c r="F33" s="123"/>
      <c r="G33" s="123"/>
      <c r="H33" s="123"/>
    </row>
    <row r="34" spans="1:8" s="100" customFormat="1" x14ac:dyDescent="0.65">
      <c r="A34" s="124"/>
      <c r="B34" s="132"/>
      <c r="C34" s="123"/>
      <c r="D34" s="123"/>
      <c r="E34" s="123"/>
      <c r="F34" s="123"/>
      <c r="G34" s="123"/>
      <c r="H34" s="123"/>
    </row>
    <row r="35" spans="1:8" s="100" customFormat="1" x14ac:dyDescent="0.65">
      <c r="A35" s="124"/>
      <c r="B35" s="132"/>
      <c r="C35" s="123"/>
      <c r="D35" s="123"/>
      <c r="E35" s="123"/>
      <c r="F35" s="123"/>
      <c r="G35" s="123"/>
      <c r="H35" s="123"/>
    </row>
    <row r="36" spans="1:8" s="100" customFormat="1" x14ac:dyDescent="0.65">
      <c r="A36" s="124"/>
      <c r="B36" s="132"/>
      <c r="C36" s="123"/>
      <c r="D36" s="123"/>
      <c r="E36" s="123"/>
      <c r="F36" s="123"/>
      <c r="G36" s="123"/>
      <c r="H36" s="123"/>
    </row>
    <row r="37" spans="1:8" s="100" customFormat="1" x14ac:dyDescent="0.65">
      <c r="A37" s="124"/>
      <c r="B37" s="132"/>
      <c r="C37" s="123"/>
      <c r="D37" s="123"/>
      <c r="E37" s="123"/>
      <c r="F37" s="123"/>
      <c r="G37" s="123"/>
      <c r="H37" s="123"/>
    </row>
    <row r="38" spans="1:8" s="100" customFormat="1" x14ac:dyDescent="0.65">
      <c r="A38" s="124"/>
      <c r="B38" s="132"/>
      <c r="C38" s="123"/>
      <c r="D38" s="123"/>
      <c r="E38" s="123"/>
      <c r="F38" s="123"/>
      <c r="G38" s="123"/>
      <c r="H38" s="123"/>
    </row>
    <row r="39" spans="1:8" s="100" customFormat="1" x14ac:dyDescent="0.65">
      <c r="A39" s="124"/>
      <c r="B39" s="132"/>
      <c r="C39" s="123"/>
      <c r="D39" s="123"/>
      <c r="E39" s="123"/>
      <c r="F39" s="123"/>
      <c r="G39" s="123"/>
      <c r="H39" s="123"/>
    </row>
    <row r="40" spans="1:8" s="100" customFormat="1" x14ac:dyDescent="0.65">
      <c r="A40" s="124"/>
      <c r="B40" s="132"/>
      <c r="C40" s="123"/>
      <c r="D40" s="123"/>
      <c r="E40" s="123"/>
      <c r="F40" s="123"/>
      <c r="G40" s="123"/>
      <c r="H40" s="123"/>
    </row>
    <row r="41" spans="1:8" s="100" customFormat="1" x14ac:dyDescent="0.65">
      <c r="A41" s="124"/>
      <c r="B41" s="132"/>
      <c r="C41" s="123"/>
      <c r="D41" s="123"/>
      <c r="E41" s="123"/>
      <c r="F41" s="123"/>
      <c r="G41" s="123"/>
      <c r="H41" s="123"/>
    </row>
    <row r="42" spans="1:8" s="100" customFormat="1" x14ac:dyDescent="0.65">
      <c r="A42" s="124"/>
      <c r="B42" s="132"/>
      <c r="C42" s="123"/>
      <c r="D42" s="123"/>
      <c r="E42" s="123"/>
      <c r="F42" s="123"/>
      <c r="G42" s="123"/>
      <c r="H42" s="123"/>
    </row>
    <row r="43" spans="1:8" s="100" customFormat="1" x14ac:dyDescent="0.65">
      <c r="A43" s="124"/>
      <c r="B43" s="132"/>
      <c r="C43" s="123"/>
      <c r="D43" s="123"/>
      <c r="E43" s="123"/>
      <c r="F43" s="123"/>
      <c r="G43" s="123"/>
      <c r="H43" s="123"/>
    </row>
    <row r="44" spans="1:8" s="100" customFormat="1" x14ac:dyDescent="0.65">
      <c r="A44" s="124"/>
      <c r="B44" s="132"/>
      <c r="C44" s="123"/>
      <c r="D44" s="123"/>
      <c r="E44" s="123"/>
      <c r="F44" s="123"/>
      <c r="G44" s="123"/>
      <c r="H44" s="123"/>
    </row>
    <row r="45" spans="1:8" s="100" customFormat="1" x14ac:dyDescent="0.65">
      <c r="A45" s="124"/>
      <c r="B45" s="132"/>
      <c r="C45" s="123"/>
      <c r="D45" s="123"/>
      <c r="E45" s="123"/>
      <c r="F45" s="123"/>
      <c r="G45" s="123"/>
      <c r="H45" s="123"/>
    </row>
    <row r="46" spans="1:8" s="100" customFormat="1" x14ac:dyDescent="0.65">
      <c r="A46" s="124"/>
      <c r="B46" s="132"/>
      <c r="C46" s="123"/>
      <c r="D46" s="123"/>
      <c r="E46" s="123"/>
      <c r="F46" s="123"/>
      <c r="G46" s="123"/>
      <c r="H46" s="123"/>
    </row>
    <row r="47" spans="1:8" s="100" customFormat="1" x14ac:dyDescent="0.65">
      <c r="A47" s="124"/>
      <c r="B47" s="132"/>
      <c r="C47" s="123"/>
      <c r="D47" s="123"/>
      <c r="E47" s="123"/>
      <c r="F47" s="123"/>
      <c r="G47" s="123"/>
      <c r="H47" s="123"/>
    </row>
    <row r="48" spans="1:8" s="100" customFormat="1" x14ac:dyDescent="0.65">
      <c r="A48" s="124"/>
      <c r="B48" s="132"/>
      <c r="C48" s="123"/>
      <c r="D48" s="123"/>
      <c r="E48" s="123"/>
      <c r="F48" s="123"/>
      <c r="G48" s="123"/>
      <c r="H48" s="123"/>
    </row>
    <row r="49" spans="1:8" s="100" customFormat="1" x14ac:dyDescent="0.65">
      <c r="A49" s="124"/>
      <c r="B49" s="132"/>
      <c r="C49" s="123"/>
      <c r="D49" s="123"/>
      <c r="E49" s="123"/>
      <c r="F49" s="123"/>
      <c r="G49" s="123"/>
      <c r="H49" s="123"/>
    </row>
    <row r="50" spans="1:8" s="100" customFormat="1" x14ac:dyDescent="0.65">
      <c r="A50" s="124"/>
      <c r="B50" s="132"/>
      <c r="C50" s="123"/>
      <c r="D50" s="123"/>
      <c r="E50" s="123"/>
      <c r="F50" s="123"/>
      <c r="G50" s="123"/>
      <c r="H50" s="123"/>
    </row>
    <row r="51" spans="1:8" s="100" customFormat="1" x14ac:dyDescent="0.65">
      <c r="A51" s="124"/>
      <c r="B51" s="132"/>
      <c r="C51" s="123"/>
      <c r="D51" s="123"/>
      <c r="E51" s="123"/>
      <c r="F51" s="123"/>
      <c r="G51" s="123"/>
      <c r="H51" s="123"/>
    </row>
    <row r="52" spans="1:8" s="100" customFormat="1" x14ac:dyDescent="0.65">
      <c r="A52" s="124"/>
      <c r="B52" s="132"/>
      <c r="C52" s="123"/>
      <c r="D52" s="123"/>
      <c r="E52" s="123"/>
      <c r="F52" s="123"/>
      <c r="G52" s="123"/>
      <c r="H52" s="123"/>
    </row>
    <row r="53" spans="1:8" s="100" customFormat="1" x14ac:dyDescent="0.65">
      <c r="A53" s="124"/>
      <c r="B53" s="132"/>
      <c r="C53" s="123"/>
      <c r="D53" s="123"/>
      <c r="E53" s="123"/>
      <c r="F53" s="123"/>
      <c r="G53" s="123"/>
      <c r="H53" s="123"/>
    </row>
    <row r="54" spans="1:8" s="100" customFormat="1" x14ac:dyDescent="0.65">
      <c r="A54" s="124"/>
      <c r="B54" s="132"/>
      <c r="C54" s="123"/>
      <c r="D54" s="123"/>
      <c r="E54" s="123"/>
      <c r="F54" s="123"/>
      <c r="G54" s="123"/>
      <c r="H54" s="123"/>
    </row>
    <row r="55" spans="1:8" s="100" customFormat="1" x14ac:dyDescent="0.65">
      <c r="A55" s="124"/>
      <c r="B55" s="132"/>
      <c r="C55" s="123"/>
      <c r="D55" s="123"/>
      <c r="E55" s="123"/>
      <c r="F55" s="123"/>
      <c r="G55" s="123"/>
      <c r="H55" s="123"/>
    </row>
    <row r="56" spans="1:8" s="100" customFormat="1" x14ac:dyDescent="0.65">
      <c r="A56" s="124"/>
      <c r="B56" s="132"/>
      <c r="C56" s="123"/>
      <c r="D56" s="123"/>
      <c r="E56" s="123"/>
      <c r="F56" s="123"/>
      <c r="G56" s="123"/>
      <c r="H56" s="123"/>
    </row>
    <row r="57" spans="1:8" s="100" customFormat="1" x14ac:dyDescent="0.65">
      <c r="A57" s="124"/>
      <c r="B57" s="132"/>
      <c r="C57" s="123"/>
      <c r="D57" s="123"/>
      <c r="E57" s="123"/>
      <c r="F57" s="123"/>
      <c r="G57" s="123"/>
      <c r="H57" s="123"/>
    </row>
    <row r="58" spans="1:8" s="100" customFormat="1" x14ac:dyDescent="0.65">
      <c r="A58" s="124"/>
      <c r="B58" s="132"/>
      <c r="C58" s="123"/>
      <c r="D58" s="123"/>
      <c r="E58" s="123"/>
      <c r="F58" s="123"/>
      <c r="G58" s="123"/>
      <c r="H58" s="123"/>
    </row>
    <row r="59" spans="1:8" s="100" customFormat="1" x14ac:dyDescent="0.65">
      <c r="A59" s="124"/>
      <c r="B59" s="132"/>
      <c r="C59" s="123"/>
      <c r="D59" s="123"/>
      <c r="E59" s="123"/>
      <c r="F59" s="123"/>
      <c r="G59" s="123"/>
      <c r="H59" s="123"/>
    </row>
    <row r="60" spans="1:8" s="100" customFormat="1" x14ac:dyDescent="0.65">
      <c r="A60" s="124"/>
      <c r="B60" s="132"/>
      <c r="C60" s="123"/>
      <c r="D60" s="123"/>
      <c r="E60" s="123"/>
      <c r="F60" s="123"/>
      <c r="G60" s="123"/>
      <c r="H60" s="123"/>
    </row>
    <row r="61" spans="1:8" s="100" customFormat="1" x14ac:dyDescent="0.65">
      <c r="A61" s="124"/>
      <c r="B61" s="132"/>
      <c r="C61" s="123"/>
      <c r="D61" s="123"/>
      <c r="E61" s="123"/>
      <c r="F61" s="123"/>
      <c r="G61" s="123"/>
      <c r="H61" s="123"/>
    </row>
    <row r="62" spans="1:8" s="100" customFormat="1" x14ac:dyDescent="0.65">
      <c r="A62" s="124"/>
      <c r="B62" s="132"/>
      <c r="C62" s="123"/>
      <c r="D62" s="123"/>
      <c r="E62" s="123"/>
      <c r="F62" s="123"/>
      <c r="G62" s="123"/>
      <c r="H62" s="123"/>
    </row>
    <row r="63" spans="1:8" s="100" customFormat="1" x14ac:dyDescent="0.65">
      <c r="A63" s="124"/>
      <c r="B63" s="132"/>
      <c r="C63" s="123"/>
      <c r="D63" s="123"/>
      <c r="E63" s="123"/>
      <c r="F63" s="123"/>
      <c r="G63" s="123"/>
      <c r="H63" s="123"/>
    </row>
    <row r="64" spans="1:8" s="100" customFormat="1" x14ac:dyDescent="0.65">
      <c r="A64" s="124"/>
      <c r="B64" s="132"/>
      <c r="C64" s="123"/>
      <c r="D64" s="123"/>
      <c r="E64" s="123"/>
      <c r="F64" s="123"/>
      <c r="G64" s="123"/>
      <c r="H64" s="123"/>
    </row>
    <row r="65" spans="1:8" s="100" customFormat="1" x14ac:dyDescent="0.65">
      <c r="A65" s="124"/>
      <c r="B65" s="132"/>
      <c r="C65" s="123"/>
      <c r="D65" s="123"/>
      <c r="E65" s="123"/>
      <c r="F65" s="123"/>
      <c r="G65" s="123"/>
      <c r="H65" s="123"/>
    </row>
    <row r="66" spans="1:8" s="100" customFormat="1" x14ac:dyDescent="0.65">
      <c r="A66" s="124"/>
      <c r="B66" s="132"/>
      <c r="C66" s="123"/>
      <c r="D66" s="123"/>
      <c r="E66" s="123"/>
      <c r="F66" s="123"/>
      <c r="G66" s="123"/>
      <c r="H66" s="123"/>
    </row>
    <row r="67" spans="1:8" s="100" customFormat="1" x14ac:dyDescent="0.65">
      <c r="A67" s="124"/>
      <c r="B67" s="132"/>
      <c r="C67" s="123"/>
      <c r="D67" s="123"/>
      <c r="E67" s="123"/>
      <c r="F67" s="123"/>
      <c r="G67" s="123"/>
      <c r="H67" s="123"/>
    </row>
    <row r="68" spans="1:8" s="100" customFormat="1" x14ac:dyDescent="0.65">
      <c r="A68" s="124"/>
      <c r="B68" s="132"/>
      <c r="C68" s="123"/>
      <c r="D68" s="123"/>
      <c r="E68" s="123"/>
      <c r="F68" s="123"/>
      <c r="G68" s="123"/>
      <c r="H68" s="123"/>
    </row>
    <row r="69" spans="1:8" s="100" customFormat="1" x14ac:dyDescent="0.65">
      <c r="A69" s="124"/>
      <c r="B69" s="132"/>
      <c r="C69" s="123"/>
      <c r="D69" s="123"/>
      <c r="E69" s="123"/>
      <c r="F69" s="123"/>
      <c r="G69" s="123"/>
      <c r="H69" s="123"/>
    </row>
    <row r="70" spans="1:8" s="100" customFormat="1" x14ac:dyDescent="0.65">
      <c r="A70" s="124"/>
      <c r="B70" s="132"/>
      <c r="C70" s="123"/>
      <c r="D70" s="123"/>
      <c r="E70" s="123"/>
      <c r="F70" s="123"/>
      <c r="G70" s="123"/>
      <c r="H70" s="123"/>
    </row>
    <row r="71" spans="1:8" s="100" customFormat="1" x14ac:dyDescent="0.65">
      <c r="A71" s="124"/>
      <c r="B71" s="132"/>
      <c r="C71" s="123"/>
      <c r="D71" s="123"/>
      <c r="E71" s="123"/>
      <c r="F71" s="123"/>
      <c r="G71" s="123"/>
      <c r="H71" s="123"/>
    </row>
    <row r="72" spans="1:8" s="100" customFormat="1" x14ac:dyDescent="0.65">
      <c r="A72" s="124"/>
      <c r="B72" s="132"/>
      <c r="C72" s="123"/>
      <c r="D72" s="123"/>
      <c r="E72" s="123"/>
      <c r="F72" s="123"/>
      <c r="G72" s="123"/>
      <c r="H72" s="123"/>
    </row>
    <row r="73" spans="1:8" s="100" customFormat="1" x14ac:dyDescent="0.65">
      <c r="A73" s="124"/>
      <c r="B73" s="132"/>
      <c r="C73" s="123"/>
      <c r="D73" s="123"/>
      <c r="E73" s="123"/>
      <c r="F73" s="123"/>
      <c r="G73" s="123"/>
      <c r="H73" s="123"/>
    </row>
  </sheetData>
  <sheetProtection algorithmName="SHA-512" hashValue="yUoqrJ1biMnaBFSH7UJ8oIolcBqFzt8VN9s4r5LyuZyxsnhTJ8dWejkqSRTq5Ko5htn52++6Mzwgt7G3a3ZxnA==" saltValue="vY8yWuOOzCr+pcZyBlFtIw==" spinCount="100000" sheet="1" objects="1" scenarios="1" selectLockedCells="1"/>
  <mergeCells count="8">
    <mergeCell ref="A19:D19"/>
    <mergeCell ref="A24:D24"/>
    <mergeCell ref="A2:B2"/>
    <mergeCell ref="A1:D1"/>
    <mergeCell ref="A3:D3"/>
    <mergeCell ref="A5:D5"/>
    <mergeCell ref="A12:D12"/>
    <mergeCell ref="A8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B3" sqref="B3"/>
    </sheetView>
  </sheetViews>
  <sheetFormatPr defaultRowHeight="27.75" x14ac:dyDescent="0.65"/>
  <cols>
    <col min="1" max="1" width="13.25" style="124" customWidth="1"/>
    <col min="2" max="2" width="13.5" style="124" customWidth="1"/>
    <col min="3" max="3" width="4.875" style="124" customWidth="1"/>
    <col min="4" max="4" width="9" style="124"/>
    <col min="5" max="5" width="10.375" style="124" customWidth="1"/>
    <col min="6" max="6" width="4" style="124" customWidth="1"/>
    <col min="7" max="7" width="7.375" style="124" customWidth="1"/>
    <col min="8" max="8" width="4.625" style="124" customWidth="1"/>
    <col min="9" max="9" width="10.125" style="124" customWidth="1"/>
    <col min="10" max="10" width="9.125" style="124" customWidth="1"/>
    <col min="11" max="11" width="3.625" style="124" customWidth="1"/>
    <col min="12" max="12" width="4.25" style="124" customWidth="1"/>
    <col min="13" max="14" width="9.125" style="124" customWidth="1"/>
    <col min="15" max="15" width="2.75" style="125" customWidth="1"/>
    <col min="16" max="16" width="21.625" style="123" customWidth="1"/>
    <col min="17" max="17" width="9.125" style="100" customWidth="1"/>
    <col min="18" max="18" width="11.625" style="149" bestFit="1" customWidth="1"/>
    <col min="19" max="19" width="9.125" style="109" customWidth="1"/>
    <col min="20" max="21" width="10" style="109" customWidth="1"/>
    <col min="22" max="24" width="9.125" style="109" customWidth="1"/>
    <col min="25" max="16384" width="9" style="124"/>
  </cols>
  <sheetData>
    <row r="1" spans="1:24" s="121" customFormat="1" ht="54" x14ac:dyDescent="1.2">
      <c r="A1" s="224" t="s">
        <v>216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101"/>
      <c r="R1" s="161" t="s">
        <v>173</v>
      </c>
      <c r="S1" s="161"/>
      <c r="T1" s="106"/>
      <c r="U1" s="106"/>
      <c r="V1" s="106"/>
      <c r="W1" s="106"/>
      <c r="X1" s="106"/>
    </row>
    <row r="2" spans="1:24" s="121" customFormat="1" x14ac:dyDescent="0.65">
      <c r="O2" s="122"/>
      <c r="P2" s="120"/>
      <c r="Q2" s="101"/>
      <c r="R2" s="106" t="s">
        <v>174</v>
      </c>
      <c r="S2" s="106" t="s">
        <v>175</v>
      </c>
      <c r="T2" s="106" t="s">
        <v>181</v>
      </c>
      <c r="U2" s="106"/>
      <c r="V2" s="106" t="s">
        <v>182</v>
      </c>
      <c r="W2" s="106" t="s">
        <v>183</v>
      </c>
      <c r="X2" s="106" t="s">
        <v>184</v>
      </c>
    </row>
    <row r="3" spans="1:24" x14ac:dyDescent="0.65">
      <c r="A3" s="121" t="s">
        <v>11</v>
      </c>
      <c r="B3" s="128"/>
      <c r="D3" s="129" t="s">
        <v>9</v>
      </c>
      <c r="E3" s="165"/>
      <c r="F3" s="165"/>
      <c r="G3" s="165"/>
      <c r="H3" s="130"/>
      <c r="I3" s="129" t="s">
        <v>10</v>
      </c>
      <c r="J3" s="165"/>
      <c r="K3" s="165"/>
      <c r="L3" s="165"/>
      <c r="M3" s="165"/>
      <c r="N3" s="165"/>
      <c r="O3" s="119"/>
      <c r="R3" s="149">
        <v>2.1</v>
      </c>
      <c r="S3" s="59">
        <f>'องค์ 2'!K5</f>
        <v>0</v>
      </c>
      <c r="U3" s="109" t="s">
        <v>185</v>
      </c>
      <c r="V3" s="59" t="e">
        <f>AVERAGE(S3:S4,S7:S9,S10:S11,S13:S18)</f>
        <v>#DIV/0!</v>
      </c>
      <c r="W3" s="59" t="e">
        <f>AVERAGE(S3,S5,S7:S11,S13:S18)</f>
        <v>#DIV/0!</v>
      </c>
      <c r="X3" s="59" t="e">
        <f>AVERAGE(S3,S6,S7:S10,S12,S13:S18)</f>
        <v>#DIV/0!</v>
      </c>
    </row>
    <row r="4" spans="1:24" x14ac:dyDescent="0.65">
      <c r="A4" s="121"/>
      <c r="B4" s="119"/>
      <c r="D4" s="129"/>
      <c r="E4" s="119"/>
      <c r="F4" s="119"/>
      <c r="G4" s="119"/>
      <c r="H4" s="167" t="str">
        <f>IF(B3=C21,"กลุ่มสาขาวิชา"," ")</f>
        <v xml:space="preserve"> </v>
      </c>
      <c r="I4" s="167"/>
      <c r="J4" s="166"/>
      <c r="K4" s="166"/>
      <c r="L4" s="166"/>
      <c r="M4" s="166"/>
      <c r="N4" s="166"/>
      <c r="O4" s="119"/>
      <c r="R4" s="149" t="s">
        <v>176</v>
      </c>
      <c r="S4" s="59">
        <f>'องค์ 2'!L8</f>
        <v>0</v>
      </c>
      <c r="T4" s="59">
        <f>AVERAGE(S3:S4)</f>
        <v>0</v>
      </c>
      <c r="U4" s="59" t="s">
        <v>186</v>
      </c>
      <c r="V4" s="59" t="e">
        <f>AVERAGE(S7:S9,S10:S11,S13:S18)</f>
        <v>#DIV/0!</v>
      </c>
      <c r="W4" s="59" t="e">
        <f>AVERAGE(S7:S11,S13:S18)</f>
        <v>#DIV/0!</v>
      </c>
      <c r="X4" s="59" t="e">
        <f>AVERAGE(S7:S10,S12,S13:S18)</f>
        <v>#DIV/0!</v>
      </c>
    </row>
    <row r="5" spans="1:24" x14ac:dyDescent="0.65">
      <c r="A5" s="162" t="s">
        <v>18</v>
      </c>
      <c r="B5" s="162"/>
      <c r="C5" s="165"/>
      <c r="D5" s="165"/>
      <c r="E5" s="167" t="s">
        <v>20</v>
      </c>
      <c r="F5" s="167"/>
      <c r="G5" s="168"/>
      <c r="H5" s="168"/>
      <c r="I5" s="168"/>
      <c r="R5" s="149" t="s">
        <v>177</v>
      </c>
      <c r="S5" s="59">
        <f>'องค์ 2'!L18</f>
        <v>0</v>
      </c>
      <c r="T5" s="59">
        <f>AVERAGE(S3,S5)</f>
        <v>0</v>
      </c>
      <c r="U5" s="59"/>
    </row>
    <row r="6" spans="1:24" x14ac:dyDescent="0.65">
      <c r="P6" s="120" t="s">
        <v>60</v>
      </c>
      <c r="R6" s="149" t="s">
        <v>178</v>
      </c>
      <c r="S6" s="59">
        <f>'องค์ 2'!L21</f>
        <v>0</v>
      </c>
      <c r="T6" s="59">
        <f>AVERAGE(S3,S6)</f>
        <v>0</v>
      </c>
      <c r="U6" s="59"/>
    </row>
    <row r="7" spans="1:24" x14ac:dyDescent="0.65">
      <c r="A7" s="162" t="s">
        <v>21</v>
      </c>
      <c r="B7" s="163"/>
      <c r="C7" s="165" t="s">
        <v>210</v>
      </c>
      <c r="D7" s="165"/>
      <c r="E7" s="165"/>
      <c r="F7" s="165"/>
      <c r="G7" s="165"/>
      <c r="I7" s="131" t="s">
        <v>59</v>
      </c>
      <c r="J7" s="165"/>
      <c r="K7" s="165"/>
      <c r="L7" s="165"/>
      <c r="M7" s="165"/>
      <c r="N7" s="165"/>
      <c r="O7" s="119"/>
      <c r="P7" s="126"/>
      <c r="R7" s="149">
        <v>3.1</v>
      </c>
      <c r="S7" s="59">
        <f>'องค์ 3'!I4</f>
        <v>0</v>
      </c>
    </row>
    <row r="8" spans="1:24" x14ac:dyDescent="0.65">
      <c r="A8" s="162" t="s">
        <v>23</v>
      </c>
      <c r="B8" s="162"/>
      <c r="C8" s="166"/>
      <c r="D8" s="166"/>
      <c r="E8" s="166"/>
      <c r="F8" s="166"/>
      <c r="G8" s="166"/>
      <c r="I8" s="131">
        <v>2</v>
      </c>
      <c r="J8" s="166"/>
      <c r="K8" s="166"/>
      <c r="L8" s="166"/>
      <c r="M8" s="166"/>
      <c r="N8" s="166"/>
      <c r="O8" s="119"/>
      <c r="P8" s="127"/>
      <c r="R8" s="149">
        <v>3.2</v>
      </c>
      <c r="S8" s="59">
        <f>'องค์ 3'!I6</f>
        <v>0</v>
      </c>
    </row>
    <row r="9" spans="1:24" x14ac:dyDescent="0.65">
      <c r="A9" s="162" t="s">
        <v>22</v>
      </c>
      <c r="B9" s="162"/>
      <c r="C9" s="166"/>
      <c r="D9" s="166"/>
      <c r="E9" s="166"/>
      <c r="F9" s="166"/>
      <c r="G9" s="166"/>
      <c r="I9" s="131">
        <v>3</v>
      </c>
      <c r="J9" s="166"/>
      <c r="K9" s="166"/>
      <c r="L9" s="166"/>
      <c r="M9" s="166"/>
      <c r="N9" s="166"/>
      <c r="O9" s="119"/>
      <c r="P9" s="127"/>
      <c r="R9" s="149">
        <v>3.3</v>
      </c>
      <c r="S9" s="59">
        <f>'องค์ 3'!I8</f>
        <v>0</v>
      </c>
      <c r="T9" s="59">
        <f>AVERAGE(S7:S9)</f>
        <v>0</v>
      </c>
      <c r="U9" s="59"/>
    </row>
    <row r="10" spans="1:24" x14ac:dyDescent="0.65">
      <c r="A10" s="162" t="s">
        <v>24</v>
      </c>
      <c r="B10" s="162"/>
      <c r="C10" s="166"/>
      <c r="D10" s="166"/>
      <c r="E10" s="166"/>
      <c r="F10" s="166"/>
      <c r="G10" s="166"/>
      <c r="I10" s="131">
        <v>4</v>
      </c>
      <c r="J10" s="166"/>
      <c r="K10" s="166"/>
      <c r="L10" s="166"/>
      <c r="M10" s="166"/>
      <c r="N10" s="166"/>
      <c r="O10" s="119"/>
      <c r="P10" s="127"/>
      <c r="R10" s="149">
        <v>4.0999999999999996</v>
      </c>
      <c r="S10" s="59">
        <f>'องค์ 4'!I4</f>
        <v>0</v>
      </c>
    </row>
    <row r="11" spans="1:24" x14ac:dyDescent="0.65">
      <c r="A11" s="164"/>
      <c r="B11" s="164"/>
      <c r="I11" s="131">
        <v>5</v>
      </c>
      <c r="J11" s="166"/>
      <c r="K11" s="166"/>
      <c r="L11" s="166"/>
      <c r="M11" s="166"/>
      <c r="N11" s="166"/>
      <c r="O11" s="119"/>
      <c r="P11" s="127"/>
      <c r="Q11" s="60"/>
      <c r="R11" s="149" t="s">
        <v>179</v>
      </c>
      <c r="S11" s="59" t="e">
        <f>'องค์ 4'!J6</f>
        <v>#DIV/0!</v>
      </c>
      <c r="T11" s="59" t="e">
        <f>AVERAGE(S10,S11,S13)</f>
        <v>#DIV/0!</v>
      </c>
      <c r="U11" s="59"/>
    </row>
    <row r="12" spans="1:24" x14ac:dyDescent="0.65">
      <c r="A12" s="162"/>
      <c r="B12" s="163"/>
      <c r="C12" s="167"/>
      <c r="D12" s="167"/>
      <c r="E12" s="167"/>
      <c r="F12" s="167"/>
      <c r="G12" s="167"/>
      <c r="I12" s="124">
        <v>6</v>
      </c>
      <c r="J12" s="169"/>
      <c r="K12" s="169"/>
      <c r="L12" s="169"/>
      <c r="M12" s="169"/>
      <c r="N12" s="169"/>
      <c r="O12" s="108"/>
      <c r="P12" s="127"/>
      <c r="Q12" s="60"/>
      <c r="R12" s="149" t="s">
        <v>180</v>
      </c>
      <c r="S12" s="59" t="e">
        <f>'องค์ 4'!J7</f>
        <v>#DIV/0!</v>
      </c>
      <c r="T12" s="59" t="e">
        <f>AVERAGE(S10,S12,S13)</f>
        <v>#DIV/0!</v>
      </c>
      <c r="U12" s="59"/>
    </row>
    <row r="13" spans="1:24" x14ac:dyDescent="0.65">
      <c r="A13" s="162"/>
      <c r="B13" s="162"/>
      <c r="C13" s="167"/>
      <c r="D13" s="167"/>
      <c r="E13" s="167"/>
      <c r="F13" s="167"/>
      <c r="G13" s="167"/>
      <c r="I13" s="124">
        <v>7</v>
      </c>
      <c r="J13" s="169"/>
      <c r="K13" s="169"/>
      <c r="L13" s="169"/>
      <c r="M13" s="169"/>
      <c r="N13" s="169"/>
      <c r="O13" s="108"/>
      <c r="P13" s="127"/>
      <c r="Q13" s="60"/>
      <c r="R13" s="149">
        <v>4.3</v>
      </c>
      <c r="S13" s="59">
        <f>'องค์ 4'!I11</f>
        <v>0</v>
      </c>
    </row>
    <row r="14" spans="1:24" x14ac:dyDescent="0.65">
      <c r="A14" s="162"/>
      <c r="B14" s="162"/>
      <c r="C14" s="167"/>
      <c r="D14" s="167"/>
      <c r="E14" s="167"/>
      <c r="F14" s="167"/>
      <c r="G14" s="167"/>
      <c r="I14" s="124">
        <v>8</v>
      </c>
      <c r="J14" s="169"/>
      <c r="K14" s="169"/>
      <c r="L14" s="169"/>
      <c r="M14" s="169"/>
      <c r="N14" s="169"/>
      <c r="O14" s="108"/>
      <c r="P14" s="127"/>
      <c r="Q14" s="60"/>
      <c r="R14" s="149">
        <v>5.0999999999999996</v>
      </c>
      <c r="S14" s="59">
        <f>'องค์ 5'!I4</f>
        <v>0</v>
      </c>
      <c r="T14" s="59">
        <f>AVERAGE(S14)</f>
        <v>0</v>
      </c>
      <c r="U14" s="59"/>
    </row>
    <row r="15" spans="1:24" x14ac:dyDescent="0.65">
      <c r="A15" s="162"/>
      <c r="B15" s="162"/>
      <c r="C15" s="167"/>
      <c r="D15" s="167"/>
      <c r="E15" s="167"/>
      <c r="F15" s="167"/>
      <c r="G15" s="167"/>
      <c r="I15" s="124">
        <v>9</v>
      </c>
      <c r="J15" s="169"/>
      <c r="K15" s="169"/>
      <c r="L15" s="169"/>
      <c r="M15" s="169"/>
      <c r="N15" s="169"/>
      <c r="O15" s="108"/>
      <c r="P15" s="127"/>
      <c r="Q15" s="60"/>
      <c r="R15" s="149">
        <v>5.2</v>
      </c>
      <c r="S15" s="59">
        <f>'องค์ 5'!I6</f>
        <v>0</v>
      </c>
    </row>
    <row r="16" spans="1:24" x14ac:dyDescent="0.65">
      <c r="I16" s="124">
        <v>10</v>
      </c>
      <c r="J16" s="169"/>
      <c r="K16" s="169"/>
      <c r="L16" s="169"/>
      <c r="M16" s="169"/>
      <c r="N16" s="169"/>
      <c r="O16" s="108"/>
      <c r="P16" s="127"/>
      <c r="R16" s="149">
        <v>5.3</v>
      </c>
      <c r="S16" s="59">
        <f>'องค์ 5'!I8</f>
        <v>0</v>
      </c>
    </row>
    <row r="17" spans="1:24" s="100" customFormat="1" x14ac:dyDescent="0.65">
      <c r="O17" s="102"/>
      <c r="P17" s="117"/>
      <c r="R17" s="149">
        <v>5.4</v>
      </c>
      <c r="S17" s="59" t="e">
        <f>'องค์ 5'!K12</f>
        <v>#DIV/0!</v>
      </c>
      <c r="T17" s="59" t="e">
        <f>AVERAGE(S15:S17)</f>
        <v>#DIV/0!</v>
      </c>
      <c r="U17" s="59"/>
      <c r="V17" s="117"/>
      <c r="W17" s="117"/>
      <c r="X17" s="117"/>
    </row>
    <row r="18" spans="1:24" s="100" customFormat="1" x14ac:dyDescent="0.65">
      <c r="A18" s="100" t="s">
        <v>12</v>
      </c>
      <c r="E18" s="101" t="s">
        <v>27</v>
      </c>
      <c r="G18" s="101" t="s">
        <v>19</v>
      </c>
      <c r="O18" s="102"/>
      <c r="P18" s="117"/>
      <c r="R18" s="149">
        <v>6.1</v>
      </c>
      <c r="S18" s="59">
        <f>'องค์ 6'!I4</f>
        <v>0</v>
      </c>
      <c r="T18" s="59">
        <f>AVERAGE(S18)</f>
        <v>0</v>
      </c>
      <c r="U18" s="59"/>
      <c r="V18" s="117"/>
      <c r="W18" s="117"/>
      <c r="X18" s="117"/>
    </row>
    <row r="19" spans="1:24" s="100" customFormat="1" x14ac:dyDescent="0.65">
      <c r="A19" s="101" t="s">
        <v>11</v>
      </c>
      <c r="C19" s="100" t="s">
        <v>13</v>
      </c>
      <c r="E19" s="100">
        <v>1</v>
      </c>
      <c r="G19" s="100" t="s">
        <v>28</v>
      </c>
      <c r="H19" s="100" t="s">
        <v>34</v>
      </c>
      <c r="O19" s="102"/>
      <c r="P19" s="117"/>
      <c r="R19" s="149"/>
      <c r="S19" s="117"/>
      <c r="T19" s="117"/>
      <c r="U19" s="117"/>
      <c r="V19" s="117"/>
      <c r="W19" s="117"/>
      <c r="X19" s="117"/>
    </row>
    <row r="20" spans="1:24" s="100" customFormat="1" x14ac:dyDescent="0.65">
      <c r="C20" s="100" t="s">
        <v>14</v>
      </c>
      <c r="E20" s="100">
        <v>0</v>
      </c>
      <c r="G20" s="100" t="s">
        <v>29</v>
      </c>
      <c r="H20" s="100" t="s">
        <v>35</v>
      </c>
      <c r="O20" s="102"/>
      <c r="P20" s="117"/>
      <c r="R20" s="149"/>
      <c r="S20" s="117"/>
      <c r="T20" s="117"/>
      <c r="U20" s="117"/>
      <c r="V20" s="117"/>
      <c r="W20" s="117"/>
      <c r="X20" s="117"/>
    </row>
    <row r="21" spans="1:24" s="100" customFormat="1" x14ac:dyDescent="0.65">
      <c r="C21" s="100" t="s">
        <v>15</v>
      </c>
      <c r="O21" s="102"/>
      <c r="P21" s="117"/>
      <c r="R21" s="149"/>
      <c r="S21" s="117"/>
      <c r="T21" s="117"/>
      <c r="U21" s="117"/>
      <c r="V21" s="117"/>
      <c r="W21" s="117"/>
      <c r="X21" s="117"/>
    </row>
    <row r="22" spans="1:24" s="100" customFormat="1" x14ac:dyDescent="0.65">
      <c r="F22" s="106" t="s">
        <v>65</v>
      </c>
      <c r="O22" s="102"/>
      <c r="P22" s="109"/>
      <c r="R22" s="149"/>
      <c r="S22" s="109"/>
      <c r="T22" s="109"/>
      <c r="U22" s="109"/>
      <c r="V22" s="109"/>
      <c r="W22" s="109"/>
      <c r="X22" s="109"/>
    </row>
    <row r="23" spans="1:24" s="100" customFormat="1" x14ac:dyDescent="0.65">
      <c r="A23" s="101" t="s">
        <v>61</v>
      </c>
      <c r="C23" s="100" t="s">
        <v>62</v>
      </c>
      <c r="F23" s="109">
        <f>COUNTIF(P7:P16,C23)</f>
        <v>0</v>
      </c>
      <c r="O23" s="102"/>
      <c r="P23" s="109"/>
      <c r="R23" s="149"/>
      <c r="S23" s="109"/>
      <c r="T23" s="109"/>
      <c r="U23" s="109"/>
      <c r="V23" s="109"/>
      <c r="W23" s="109"/>
      <c r="X23" s="109"/>
    </row>
    <row r="24" spans="1:24" s="100" customFormat="1" x14ac:dyDescent="0.65">
      <c r="C24" s="100" t="s">
        <v>63</v>
      </c>
      <c r="F24" s="109">
        <f>COUNTIF(P7:P16,C24)</f>
        <v>0</v>
      </c>
      <c r="O24" s="102"/>
      <c r="P24" s="109"/>
      <c r="R24" s="149"/>
      <c r="S24" s="109"/>
      <c r="T24" s="109"/>
      <c r="U24" s="109"/>
      <c r="V24" s="109"/>
      <c r="W24" s="109"/>
      <c r="X24" s="109"/>
    </row>
    <row r="25" spans="1:24" s="100" customFormat="1" x14ac:dyDescent="0.65">
      <c r="C25" s="100" t="s">
        <v>64</v>
      </c>
      <c r="F25" s="109">
        <f>COUNTIF(P7:P16,C25)</f>
        <v>0</v>
      </c>
      <c r="O25" s="102"/>
      <c r="P25" s="109"/>
      <c r="R25" s="149"/>
      <c r="S25" s="109"/>
      <c r="T25" s="109"/>
      <c r="U25" s="109"/>
      <c r="V25" s="109"/>
      <c r="W25" s="109"/>
      <c r="X25" s="109"/>
    </row>
    <row r="26" spans="1:24" s="100" customFormat="1" x14ac:dyDescent="0.65">
      <c r="O26" s="102"/>
      <c r="P26" s="109"/>
      <c r="R26" s="149"/>
      <c r="S26" s="109"/>
      <c r="T26" s="109"/>
      <c r="U26" s="109"/>
      <c r="V26" s="109"/>
      <c r="W26" s="109"/>
      <c r="X26" s="109"/>
    </row>
    <row r="27" spans="1:24" s="100" customFormat="1" x14ac:dyDescent="0.65">
      <c r="A27" s="101" t="s">
        <v>9</v>
      </c>
      <c r="B27" s="100" t="s">
        <v>100</v>
      </c>
      <c r="E27" s="101" t="s">
        <v>10</v>
      </c>
      <c r="F27" s="100" t="s">
        <v>126</v>
      </c>
      <c r="G27" s="60"/>
      <c r="H27" s="60"/>
      <c r="I27" s="60"/>
      <c r="J27" s="60"/>
      <c r="K27" s="161" t="s">
        <v>72</v>
      </c>
      <c r="L27" s="161"/>
      <c r="M27" s="100" t="s">
        <v>73</v>
      </c>
      <c r="O27" s="102"/>
      <c r="P27" s="109"/>
      <c r="R27" s="149"/>
      <c r="S27" s="109"/>
      <c r="T27" s="109"/>
      <c r="U27" s="109"/>
      <c r="V27" s="109"/>
      <c r="W27" s="109"/>
      <c r="X27" s="109"/>
    </row>
    <row r="28" spans="1:24" s="100" customFormat="1" x14ac:dyDescent="0.65">
      <c r="B28" s="100" t="s">
        <v>131</v>
      </c>
      <c r="F28" s="100" t="s">
        <v>133</v>
      </c>
      <c r="M28" s="100" t="s">
        <v>74</v>
      </c>
      <c r="O28" s="102"/>
      <c r="P28" s="109"/>
      <c r="R28" s="149"/>
      <c r="S28" s="109"/>
      <c r="T28" s="109"/>
      <c r="U28" s="109"/>
      <c r="V28" s="109"/>
      <c r="W28" s="109"/>
      <c r="X28" s="109"/>
    </row>
    <row r="29" spans="1:24" s="100" customFormat="1" x14ac:dyDescent="0.65">
      <c r="B29" s="100" t="s">
        <v>132</v>
      </c>
      <c r="F29" s="100" t="s">
        <v>135</v>
      </c>
      <c r="M29" s="100" t="s">
        <v>75</v>
      </c>
      <c r="O29" s="102"/>
      <c r="P29" s="109"/>
      <c r="R29" s="149"/>
      <c r="S29" s="109"/>
      <c r="T29" s="109"/>
      <c r="U29" s="109"/>
      <c r="V29" s="109"/>
      <c r="W29" s="109"/>
      <c r="X29" s="109"/>
    </row>
    <row r="30" spans="1:24" s="100" customFormat="1" x14ac:dyDescent="0.65">
      <c r="B30" s="100" t="s">
        <v>130</v>
      </c>
      <c r="F30" s="100" t="s">
        <v>141</v>
      </c>
      <c r="O30" s="102"/>
      <c r="P30" s="109"/>
      <c r="R30" s="149"/>
      <c r="S30" s="109"/>
      <c r="T30" s="109"/>
      <c r="U30" s="109"/>
      <c r="V30" s="109"/>
      <c r="W30" s="109"/>
      <c r="X30" s="109"/>
    </row>
    <row r="31" spans="1:24" s="100" customFormat="1" x14ac:dyDescent="0.65">
      <c r="B31" s="100" t="s">
        <v>128</v>
      </c>
      <c r="F31" s="100" t="s">
        <v>139</v>
      </c>
      <c r="O31" s="102"/>
      <c r="P31" s="109"/>
      <c r="R31" s="149"/>
      <c r="S31" s="109"/>
      <c r="T31" s="109"/>
      <c r="U31" s="109"/>
      <c r="V31" s="109"/>
      <c r="W31" s="109"/>
      <c r="X31" s="109"/>
    </row>
    <row r="32" spans="1:24" s="100" customFormat="1" x14ac:dyDescent="0.65">
      <c r="B32" s="100" t="s">
        <v>99</v>
      </c>
      <c r="F32" s="100" t="s">
        <v>134</v>
      </c>
      <c r="O32" s="102"/>
      <c r="P32" s="109"/>
      <c r="R32" s="149"/>
      <c r="S32" s="109"/>
      <c r="T32" s="109"/>
      <c r="U32" s="109"/>
      <c r="V32" s="109"/>
      <c r="W32" s="109"/>
      <c r="X32" s="109"/>
    </row>
    <row r="33" spans="2:24" s="100" customFormat="1" x14ac:dyDescent="0.65">
      <c r="B33" s="100" t="s">
        <v>17</v>
      </c>
      <c r="F33" s="100" t="s">
        <v>124</v>
      </c>
      <c r="O33" s="102"/>
      <c r="P33" s="109"/>
      <c r="R33" s="149"/>
      <c r="S33" s="109"/>
      <c r="T33" s="109"/>
      <c r="U33" s="109"/>
      <c r="V33" s="109"/>
      <c r="W33" s="109"/>
      <c r="X33" s="109"/>
    </row>
    <row r="34" spans="2:24" s="100" customFormat="1" x14ac:dyDescent="0.65">
      <c r="B34" s="100" t="s">
        <v>16</v>
      </c>
      <c r="F34" s="100" t="s">
        <v>136</v>
      </c>
      <c r="O34" s="102"/>
      <c r="P34" s="109"/>
      <c r="R34" s="149"/>
      <c r="S34" s="109"/>
      <c r="T34" s="109"/>
      <c r="U34" s="109"/>
      <c r="V34" s="109"/>
      <c r="W34" s="109"/>
      <c r="X34" s="109"/>
    </row>
    <row r="35" spans="2:24" s="100" customFormat="1" x14ac:dyDescent="0.65">
      <c r="B35" s="100" t="s">
        <v>98</v>
      </c>
      <c r="F35" s="100" t="s">
        <v>143</v>
      </c>
      <c r="O35" s="102"/>
      <c r="P35" s="109"/>
      <c r="R35" s="149"/>
      <c r="S35" s="109"/>
      <c r="T35" s="109"/>
      <c r="U35" s="109"/>
      <c r="V35" s="109"/>
      <c r="W35" s="109"/>
      <c r="X35" s="109"/>
    </row>
    <row r="36" spans="2:24" s="100" customFormat="1" x14ac:dyDescent="0.65">
      <c r="F36" s="100" t="s">
        <v>142</v>
      </c>
      <c r="O36" s="102"/>
      <c r="P36" s="109"/>
      <c r="R36" s="149"/>
      <c r="S36" s="109"/>
      <c r="T36" s="109"/>
      <c r="U36" s="109"/>
      <c r="V36" s="109"/>
      <c r="W36" s="109"/>
      <c r="X36" s="109"/>
    </row>
    <row r="37" spans="2:24" s="100" customFormat="1" x14ac:dyDescent="0.65">
      <c r="F37" s="100" t="s">
        <v>111</v>
      </c>
      <c r="O37" s="102"/>
      <c r="P37" s="109"/>
      <c r="R37" s="149"/>
      <c r="S37" s="109"/>
      <c r="T37" s="109"/>
      <c r="U37" s="109"/>
      <c r="V37" s="109"/>
      <c r="W37" s="109"/>
      <c r="X37" s="109"/>
    </row>
    <row r="38" spans="2:24" s="100" customFormat="1" x14ac:dyDescent="0.65">
      <c r="F38" s="100" t="s">
        <v>119</v>
      </c>
      <c r="O38" s="102"/>
      <c r="P38" s="109"/>
      <c r="R38" s="149"/>
      <c r="S38" s="109"/>
      <c r="T38" s="109"/>
      <c r="U38" s="109"/>
      <c r="V38" s="109"/>
      <c r="W38" s="109"/>
      <c r="X38" s="109"/>
    </row>
    <row r="39" spans="2:24" s="100" customFormat="1" x14ac:dyDescent="0.65">
      <c r="F39" s="100" t="s">
        <v>137</v>
      </c>
      <c r="O39" s="102"/>
      <c r="P39" s="109"/>
      <c r="R39" s="149"/>
      <c r="S39" s="109"/>
      <c r="T39" s="109"/>
      <c r="U39" s="109"/>
      <c r="V39" s="109"/>
      <c r="W39" s="109"/>
      <c r="X39" s="109"/>
    </row>
    <row r="40" spans="2:24" s="100" customFormat="1" x14ac:dyDescent="0.65">
      <c r="F40" s="100" t="s">
        <v>108</v>
      </c>
      <c r="O40" s="102"/>
      <c r="P40" s="109"/>
      <c r="R40" s="149"/>
      <c r="S40" s="109"/>
      <c r="T40" s="109"/>
      <c r="U40" s="109"/>
      <c r="V40" s="109"/>
      <c r="W40" s="109"/>
      <c r="X40" s="109"/>
    </row>
    <row r="41" spans="2:24" s="100" customFormat="1" x14ac:dyDescent="0.65">
      <c r="F41" s="100" t="s">
        <v>122</v>
      </c>
      <c r="O41" s="102"/>
      <c r="P41" s="109"/>
      <c r="R41" s="149"/>
      <c r="S41" s="109"/>
      <c r="T41" s="109"/>
      <c r="U41" s="109"/>
      <c r="V41" s="109"/>
      <c r="W41" s="109"/>
      <c r="X41" s="109"/>
    </row>
    <row r="42" spans="2:24" s="100" customFormat="1" x14ac:dyDescent="0.65">
      <c r="F42" s="100" t="s">
        <v>120</v>
      </c>
      <c r="O42" s="102"/>
      <c r="P42" s="109"/>
      <c r="R42" s="149"/>
      <c r="S42" s="109"/>
      <c r="T42" s="109"/>
      <c r="U42" s="109"/>
      <c r="V42" s="109"/>
      <c r="W42" s="109"/>
      <c r="X42" s="109"/>
    </row>
    <row r="43" spans="2:24" s="100" customFormat="1" x14ac:dyDescent="0.65">
      <c r="F43" s="100" t="s">
        <v>113</v>
      </c>
      <c r="O43" s="102"/>
      <c r="P43" s="109"/>
      <c r="R43" s="149"/>
      <c r="S43" s="109"/>
      <c r="T43" s="109"/>
      <c r="U43" s="109"/>
      <c r="V43" s="109"/>
      <c r="W43" s="109"/>
      <c r="X43" s="109"/>
    </row>
    <row r="44" spans="2:24" s="100" customFormat="1" x14ac:dyDescent="0.65">
      <c r="F44" s="100" t="s">
        <v>114</v>
      </c>
      <c r="O44" s="102"/>
      <c r="P44" s="109"/>
      <c r="R44" s="149"/>
      <c r="S44" s="109"/>
      <c r="T44" s="109"/>
      <c r="U44" s="109"/>
      <c r="V44" s="109"/>
      <c r="W44" s="109"/>
      <c r="X44" s="109"/>
    </row>
    <row r="45" spans="2:24" s="100" customFormat="1" x14ac:dyDescent="0.65">
      <c r="F45" s="100" t="s">
        <v>123</v>
      </c>
      <c r="O45" s="102"/>
      <c r="P45" s="109"/>
      <c r="R45" s="149"/>
      <c r="S45" s="109"/>
      <c r="T45" s="109"/>
      <c r="U45" s="109"/>
      <c r="V45" s="109"/>
      <c r="W45" s="109"/>
      <c r="X45" s="109"/>
    </row>
    <row r="46" spans="2:24" s="100" customFormat="1" x14ac:dyDescent="0.65">
      <c r="F46" s="100" t="s">
        <v>125</v>
      </c>
      <c r="O46" s="102"/>
      <c r="P46" s="109"/>
      <c r="R46" s="149"/>
      <c r="S46" s="109"/>
      <c r="T46" s="109"/>
      <c r="U46" s="109"/>
      <c r="V46" s="109"/>
      <c r="W46" s="109"/>
      <c r="X46" s="109"/>
    </row>
    <row r="47" spans="2:24" s="100" customFormat="1" x14ac:dyDescent="0.65">
      <c r="F47" s="100" t="s">
        <v>138</v>
      </c>
      <c r="O47" s="102"/>
      <c r="P47" s="109"/>
      <c r="R47" s="149"/>
      <c r="S47" s="109"/>
      <c r="T47" s="109"/>
      <c r="U47" s="109"/>
      <c r="V47" s="109"/>
      <c r="W47" s="109"/>
      <c r="X47" s="109"/>
    </row>
    <row r="48" spans="2:24" s="100" customFormat="1" x14ac:dyDescent="0.65">
      <c r="F48" s="100" t="s">
        <v>106</v>
      </c>
      <c r="O48" s="102"/>
      <c r="P48" s="109"/>
      <c r="R48" s="149"/>
      <c r="S48" s="109"/>
      <c r="T48" s="109"/>
      <c r="U48" s="109"/>
      <c r="V48" s="109"/>
      <c r="W48" s="109"/>
      <c r="X48" s="109"/>
    </row>
    <row r="49" spans="6:24" s="100" customFormat="1" x14ac:dyDescent="0.65">
      <c r="F49" s="100" t="s">
        <v>107</v>
      </c>
      <c r="O49" s="102"/>
      <c r="P49" s="109"/>
      <c r="R49" s="149"/>
      <c r="S49" s="109"/>
      <c r="T49" s="109"/>
      <c r="U49" s="109"/>
      <c r="V49" s="109"/>
      <c r="W49" s="109"/>
      <c r="X49" s="109"/>
    </row>
    <row r="50" spans="6:24" s="100" customFormat="1" x14ac:dyDescent="0.65">
      <c r="F50" s="100" t="s">
        <v>129</v>
      </c>
      <c r="O50" s="102"/>
      <c r="P50" s="109"/>
      <c r="R50" s="149"/>
      <c r="S50" s="109"/>
      <c r="T50" s="109"/>
      <c r="U50" s="109"/>
      <c r="V50" s="109"/>
      <c r="W50" s="109"/>
      <c r="X50" s="109"/>
    </row>
    <row r="51" spans="6:24" s="100" customFormat="1" x14ac:dyDescent="0.65">
      <c r="F51" s="100" t="s">
        <v>112</v>
      </c>
      <c r="O51" s="102"/>
      <c r="P51" s="109"/>
      <c r="R51" s="149"/>
      <c r="S51" s="109"/>
      <c r="T51" s="109"/>
      <c r="U51" s="109"/>
      <c r="V51" s="109"/>
      <c r="W51" s="109"/>
      <c r="X51" s="109"/>
    </row>
    <row r="52" spans="6:24" s="100" customFormat="1" x14ac:dyDescent="0.65">
      <c r="F52" s="60" t="s">
        <v>101</v>
      </c>
      <c r="O52" s="102"/>
      <c r="P52" s="109"/>
      <c r="R52" s="149"/>
      <c r="S52" s="109"/>
      <c r="T52" s="109"/>
      <c r="U52" s="109"/>
      <c r="V52" s="109"/>
      <c r="W52" s="109"/>
      <c r="X52" s="109"/>
    </row>
    <row r="53" spans="6:24" s="100" customFormat="1" x14ac:dyDescent="0.65">
      <c r="F53" s="100" t="s">
        <v>102</v>
      </c>
      <c r="O53" s="102"/>
      <c r="P53" s="109"/>
      <c r="R53" s="149"/>
      <c r="S53" s="109"/>
      <c r="T53" s="109"/>
      <c r="U53" s="109"/>
      <c r="V53" s="109"/>
      <c r="W53" s="109"/>
      <c r="X53" s="109"/>
    </row>
    <row r="54" spans="6:24" s="100" customFormat="1" x14ac:dyDescent="0.65">
      <c r="F54" s="100" t="s">
        <v>103</v>
      </c>
      <c r="O54" s="102"/>
      <c r="P54" s="109"/>
      <c r="R54" s="149"/>
      <c r="S54" s="109"/>
      <c r="T54" s="109"/>
      <c r="U54" s="109"/>
      <c r="V54" s="109"/>
      <c r="W54" s="109"/>
      <c r="X54" s="109"/>
    </row>
    <row r="55" spans="6:24" s="100" customFormat="1" x14ac:dyDescent="0.65">
      <c r="F55" s="100" t="s">
        <v>104</v>
      </c>
      <c r="O55" s="102"/>
      <c r="P55" s="109"/>
      <c r="R55" s="149"/>
      <c r="S55" s="109"/>
      <c r="T55" s="109"/>
      <c r="U55" s="109"/>
      <c r="V55" s="109"/>
      <c r="W55" s="109"/>
      <c r="X55" s="109"/>
    </row>
    <row r="56" spans="6:24" s="100" customFormat="1" x14ac:dyDescent="0.65">
      <c r="F56" s="100" t="s">
        <v>121</v>
      </c>
      <c r="O56" s="102"/>
      <c r="P56" s="109"/>
      <c r="R56" s="149"/>
      <c r="S56" s="109"/>
      <c r="T56" s="109"/>
      <c r="U56" s="109"/>
      <c r="V56" s="109"/>
      <c r="W56" s="109"/>
      <c r="X56" s="109"/>
    </row>
    <row r="57" spans="6:24" s="100" customFormat="1" x14ac:dyDescent="0.65">
      <c r="F57" s="100" t="s">
        <v>105</v>
      </c>
      <c r="O57" s="102"/>
      <c r="P57" s="109"/>
      <c r="R57" s="149"/>
      <c r="S57" s="109"/>
      <c r="T57" s="109"/>
      <c r="U57" s="109"/>
      <c r="V57" s="109"/>
      <c r="W57" s="109"/>
      <c r="X57" s="109"/>
    </row>
    <row r="58" spans="6:24" s="100" customFormat="1" x14ac:dyDescent="0.65">
      <c r="F58" s="100" t="s">
        <v>110</v>
      </c>
      <c r="O58" s="102"/>
      <c r="P58" s="109"/>
      <c r="R58" s="149"/>
      <c r="S58" s="109"/>
      <c r="T58" s="109"/>
      <c r="U58" s="109"/>
      <c r="V58" s="109"/>
      <c r="W58" s="109"/>
      <c r="X58" s="109"/>
    </row>
    <row r="59" spans="6:24" s="100" customFormat="1" x14ac:dyDescent="0.65">
      <c r="F59" s="100" t="s">
        <v>140</v>
      </c>
      <c r="O59" s="102"/>
      <c r="P59" s="109"/>
      <c r="R59" s="149"/>
      <c r="S59" s="109"/>
      <c r="T59" s="109"/>
      <c r="U59" s="109"/>
      <c r="V59" s="109"/>
      <c r="W59" s="109"/>
      <c r="X59" s="109"/>
    </row>
    <row r="60" spans="6:24" s="100" customFormat="1" x14ac:dyDescent="0.65">
      <c r="F60" s="100" t="s">
        <v>115</v>
      </c>
      <c r="O60" s="102"/>
      <c r="P60" s="109"/>
      <c r="R60" s="149"/>
      <c r="S60" s="109"/>
      <c r="T60" s="109"/>
      <c r="U60" s="109"/>
      <c r="V60" s="109"/>
      <c r="W60" s="109"/>
      <c r="X60" s="109"/>
    </row>
    <row r="61" spans="6:24" s="100" customFormat="1" x14ac:dyDescent="0.65">
      <c r="F61" s="100" t="s">
        <v>116</v>
      </c>
      <c r="O61" s="102"/>
      <c r="P61" s="109"/>
      <c r="R61" s="149"/>
      <c r="S61" s="109"/>
      <c r="T61" s="109"/>
      <c r="U61" s="109"/>
      <c r="V61" s="109"/>
      <c r="W61" s="109"/>
      <c r="X61" s="109"/>
    </row>
    <row r="62" spans="6:24" s="100" customFormat="1" x14ac:dyDescent="0.65">
      <c r="F62" s="100" t="s">
        <v>109</v>
      </c>
      <c r="O62" s="102"/>
      <c r="P62" s="109"/>
      <c r="R62" s="149"/>
      <c r="S62" s="109"/>
      <c r="T62" s="109"/>
      <c r="U62" s="109"/>
      <c r="V62" s="109"/>
      <c r="W62" s="109"/>
      <c r="X62" s="109"/>
    </row>
    <row r="63" spans="6:24" s="100" customFormat="1" x14ac:dyDescent="0.65">
      <c r="F63" s="100" t="s">
        <v>118</v>
      </c>
      <c r="O63" s="102"/>
      <c r="P63" s="109"/>
      <c r="R63" s="149"/>
      <c r="S63" s="109"/>
      <c r="T63" s="109"/>
      <c r="U63" s="109"/>
      <c r="V63" s="109"/>
      <c r="W63" s="109"/>
      <c r="X63" s="109"/>
    </row>
    <row r="64" spans="6:24" s="100" customFormat="1" x14ac:dyDescent="0.65">
      <c r="F64" s="100" t="s">
        <v>127</v>
      </c>
      <c r="O64" s="102"/>
      <c r="P64" s="109"/>
      <c r="R64" s="149"/>
      <c r="S64" s="109"/>
      <c r="T64" s="109"/>
      <c r="U64" s="109"/>
      <c r="V64" s="109"/>
      <c r="W64" s="109"/>
      <c r="X64" s="109"/>
    </row>
    <row r="65" spans="6:24" s="100" customFormat="1" x14ac:dyDescent="0.65">
      <c r="F65" s="100" t="s">
        <v>117</v>
      </c>
      <c r="O65" s="102"/>
      <c r="P65" s="109"/>
      <c r="R65" s="149"/>
      <c r="S65" s="109"/>
      <c r="T65" s="109"/>
      <c r="U65" s="109"/>
      <c r="V65" s="109"/>
      <c r="W65" s="109"/>
      <c r="X65" s="109"/>
    </row>
    <row r="66" spans="6:24" s="100" customFormat="1" x14ac:dyDescent="0.65">
      <c r="O66" s="102"/>
      <c r="P66" s="109"/>
      <c r="R66" s="149"/>
      <c r="S66" s="109"/>
      <c r="T66" s="109"/>
      <c r="U66" s="109"/>
      <c r="V66" s="109"/>
      <c r="W66" s="109"/>
      <c r="X66" s="109"/>
    </row>
  </sheetData>
  <sheetProtection algorithmName="SHA-512" hashValue="aNINb+CTFQkHi+2lEFhSfIz+sKYwmVLlNC29+nKhw+CTvv1NiBnUGBtfQ/N+d6/mWXNGbe+4N9x3MT00l/GKQw==" saltValue="l+YCGNDEdf661GLZaK/qcw==" spinCount="100000" sheet="1" objects="1" scenarios="1" selectLockedCells="1"/>
  <sortState ref="B27:B35">
    <sortCondition ref="B27"/>
  </sortState>
  <mergeCells count="38">
    <mergeCell ref="A1:P1"/>
    <mergeCell ref="J15:N15"/>
    <mergeCell ref="J16:N16"/>
    <mergeCell ref="J4:N4"/>
    <mergeCell ref="H4:I4"/>
    <mergeCell ref="K27:L27"/>
    <mergeCell ref="J10:N10"/>
    <mergeCell ref="J11:N11"/>
    <mergeCell ref="J12:N12"/>
    <mergeCell ref="J13:N13"/>
    <mergeCell ref="J14:N14"/>
    <mergeCell ref="A15:B15"/>
    <mergeCell ref="C12:G12"/>
    <mergeCell ref="C13:G13"/>
    <mergeCell ref="C14:G14"/>
    <mergeCell ref="C15:G15"/>
    <mergeCell ref="A13:B13"/>
    <mergeCell ref="A14:B14"/>
    <mergeCell ref="C7:G7"/>
    <mergeCell ref="A8:B8"/>
    <mergeCell ref="C8:G8"/>
    <mergeCell ref="A9:B9"/>
    <mergeCell ref="C9:G9"/>
    <mergeCell ref="R1:S1"/>
    <mergeCell ref="A12:B12"/>
    <mergeCell ref="A11:B11"/>
    <mergeCell ref="E3:G3"/>
    <mergeCell ref="J3:N3"/>
    <mergeCell ref="A5:B5"/>
    <mergeCell ref="J7:N7"/>
    <mergeCell ref="J8:N8"/>
    <mergeCell ref="J9:N9"/>
    <mergeCell ref="A10:B10"/>
    <mergeCell ref="C10:G10"/>
    <mergeCell ref="C5:D5"/>
    <mergeCell ref="E5:F5"/>
    <mergeCell ref="G5:I5"/>
    <mergeCell ref="A7:B7"/>
  </mergeCells>
  <dataValidations count="5">
    <dataValidation type="list" allowBlank="1" showInputMessage="1" showErrorMessage="1" sqref="B3">
      <formula1>$C$19:$C$21</formula1>
    </dataValidation>
    <dataValidation type="list" allowBlank="1" showInputMessage="1" showErrorMessage="1" sqref="P7:P16">
      <formula1>$C$23:$C$25</formula1>
    </dataValidation>
    <dataValidation type="list" allowBlank="1" showInputMessage="1" showErrorMessage="1" promptTitle="เงื่อนไข" prompt="เลือกกลุ่มสาขาวิชา สำหรับหลักสูตรปริญญาเอก" sqref="J4:N4">
      <formula1>$M$27:$M$29</formula1>
    </dataValidation>
    <dataValidation type="list" allowBlank="1" showInputMessage="1" showErrorMessage="1" sqref="J3:N3">
      <formula1>$F$27:$F$65</formula1>
    </dataValidation>
    <dataValidation type="list" allowBlank="1" showInputMessage="1" showErrorMessage="1" sqref="E3:G3">
      <formula1>$B$27:$B$35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zoomScaleNormal="100" workbookViewId="0">
      <selection activeCell="I13" sqref="I13"/>
    </sheetView>
  </sheetViews>
  <sheetFormatPr defaultColWidth="8.25" defaultRowHeight="26.25" x14ac:dyDescent="0.6"/>
  <cols>
    <col min="1" max="1" width="6" style="20" customWidth="1"/>
    <col min="2" max="2" width="8.25" style="18"/>
    <col min="3" max="3" width="2.625" style="18" customWidth="1"/>
    <col min="4" max="4" width="4" style="20" customWidth="1"/>
    <col min="5" max="7" width="8.25" style="18"/>
    <col min="8" max="8" width="45.375" style="18" customWidth="1"/>
    <col min="9" max="9" width="22.375" style="18" customWidth="1"/>
    <col min="10" max="10" width="8.25" style="18"/>
    <col min="11" max="11" width="0" style="19" hidden="1" customWidth="1"/>
    <col min="12" max="16384" width="8.25" style="18"/>
  </cols>
  <sheetData>
    <row r="1" spans="1:11" s="5" customFormat="1" ht="30.75" x14ac:dyDescent="0.7">
      <c r="A1" s="170" t="s">
        <v>25</v>
      </c>
      <c r="B1" s="170"/>
      <c r="C1" s="170"/>
      <c r="D1" s="170"/>
      <c r="E1" s="170"/>
      <c r="F1" s="170"/>
      <c r="G1" s="170"/>
      <c r="H1" s="170"/>
      <c r="I1" s="170"/>
      <c r="K1" s="13"/>
    </row>
    <row r="2" spans="1:11" s="5" customFormat="1" ht="30.75" x14ac:dyDescent="0.7">
      <c r="A2" s="14" t="s">
        <v>30</v>
      </c>
      <c r="B2" s="14"/>
      <c r="C2" s="14"/>
      <c r="D2" s="15"/>
      <c r="E2" s="14"/>
      <c r="F2" s="14"/>
      <c r="G2" s="14"/>
      <c r="H2" s="14"/>
      <c r="I2" s="15" t="s">
        <v>19</v>
      </c>
      <c r="K2" s="13"/>
    </row>
    <row r="3" spans="1:11" x14ac:dyDescent="0.6">
      <c r="A3" s="17">
        <f>IF(DataSet!B3=DataSet!C19,DataSet!E19,DataSet!E19)</f>
        <v>1</v>
      </c>
      <c r="B3" s="172" t="s">
        <v>26</v>
      </c>
      <c r="C3" s="172"/>
      <c r="D3" s="172"/>
      <c r="E3" s="172"/>
      <c r="F3" s="172"/>
      <c r="G3" s="172"/>
      <c r="H3" s="172"/>
      <c r="I3" s="22"/>
    </row>
    <row r="4" spans="1:11" x14ac:dyDescent="0.6">
      <c r="A4" s="17">
        <f>IF(DataSet!B3=DataSet!C19,DataSet!E19,DataSet!E19)</f>
        <v>1</v>
      </c>
      <c r="B4" s="172" t="s">
        <v>45</v>
      </c>
      <c r="C4" s="172"/>
      <c r="D4" s="172"/>
      <c r="E4" s="172"/>
      <c r="F4" s="172"/>
      <c r="G4" s="172"/>
      <c r="H4" s="172"/>
      <c r="I4" s="22"/>
    </row>
    <row r="5" spans="1:11" x14ac:dyDescent="0.6">
      <c r="A5" s="17">
        <f>IF(DataSet!B3=DataSet!C19,DataSet!E20,DataSet!E19)</f>
        <v>1</v>
      </c>
      <c r="B5" s="171" t="str">
        <f>IF(DataSet!B3=DataSet!C19," ",'องค์ 1'!K5)</f>
        <v>3) คุณสมบัติของอาจารย์ผู้รับผิดชอบหลักสูตร</v>
      </c>
      <c r="C5" s="171"/>
      <c r="D5" s="171"/>
      <c r="E5" s="171"/>
      <c r="F5" s="171"/>
      <c r="G5" s="171"/>
      <c r="H5" s="171"/>
      <c r="I5" s="22"/>
      <c r="K5" s="19" t="s">
        <v>44</v>
      </c>
    </row>
    <row r="6" spans="1:11" x14ac:dyDescent="0.6">
      <c r="A6" s="17">
        <f>IF(DataSet!B3=DataSet!C19,DataSet!E20,DataSet!E19)</f>
        <v>1</v>
      </c>
      <c r="B6" s="171" t="str">
        <f>IF(DataSet!B3=DataSet!C19," ",'องค์ 1'!K6)</f>
        <v>4) คุณสมบัติของอาจารย์ผู้สอน</v>
      </c>
      <c r="C6" s="171"/>
      <c r="D6" s="171"/>
      <c r="E6" s="171"/>
      <c r="F6" s="171"/>
      <c r="G6" s="171"/>
      <c r="H6" s="171"/>
      <c r="I6" s="22"/>
      <c r="K6" s="19" t="s">
        <v>43</v>
      </c>
    </row>
    <row r="7" spans="1:11" x14ac:dyDescent="0.6">
      <c r="A7" s="17">
        <f>IF(DataSet!B3=DataSet!C19,DataSet!E20,DataSet!E19)</f>
        <v>1</v>
      </c>
      <c r="B7" s="171" t="str">
        <f>IF(DataSet!B3=DataSet!C19," ",'องค์ 1'!K7)</f>
        <v>5) คุณสมบัติของอาจารย์ที่ปรึกษาวิทยานิพนธ์หลักและอาจารย์ที่ปรึกษาการค้นคว้าอิสระ</v>
      </c>
      <c r="C7" s="171"/>
      <c r="D7" s="171"/>
      <c r="E7" s="171"/>
      <c r="F7" s="171"/>
      <c r="G7" s="171"/>
      <c r="H7" s="171"/>
      <c r="I7" s="22"/>
      <c r="K7" s="19" t="s">
        <v>42</v>
      </c>
    </row>
    <row r="8" spans="1:11" x14ac:dyDescent="0.6">
      <c r="A8" s="17">
        <f>IF(DataSet!B3=DataSet!C19,DataSet!E20,DataSet!E19)</f>
        <v>1</v>
      </c>
      <c r="B8" s="171" t="str">
        <f>IF(DataSet!B3=DataSet!C19," ",'องค์ 1'!K8)</f>
        <v>6) คุณสมบัติของอาจารย์ที่ปรึกษาวิทยานิพนธ์ร่วม (ถ้ามี)</v>
      </c>
      <c r="C8" s="171"/>
      <c r="D8" s="171"/>
      <c r="E8" s="171"/>
      <c r="F8" s="171"/>
      <c r="G8" s="171"/>
      <c r="H8" s="171"/>
      <c r="I8" s="22"/>
      <c r="K8" s="19" t="s">
        <v>41</v>
      </c>
    </row>
    <row r="9" spans="1:11" x14ac:dyDescent="0.6">
      <c r="A9" s="17">
        <f>IF(DataSet!B3=DataSet!C19,DataSet!E20,DataSet!E19)</f>
        <v>1</v>
      </c>
      <c r="B9" s="171" t="str">
        <f>IF(DataSet!B3=DataSet!C19," ",'องค์ 1'!K9)</f>
        <v>7) คุณสมบัติของอาจารย์ผู้สอบวิทยานิพนธ์</v>
      </c>
      <c r="C9" s="171"/>
      <c r="D9" s="171"/>
      <c r="E9" s="171"/>
      <c r="F9" s="171"/>
      <c r="G9" s="171"/>
      <c r="H9" s="171"/>
      <c r="I9" s="22"/>
      <c r="K9" s="19" t="s">
        <v>40</v>
      </c>
    </row>
    <row r="10" spans="1:11" x14ac:dyDescent="0.6">
      <c r="A10" s="17">
        <f>IF(DataSet!B3=DataSet!C19,DataSet!E20,DataSet!E19)</f>
        <v>1</v>
      </c>
      <c r="B10" s="171" t="str">
        <f>IF(DataSet!B3=DataSet!C19," ",'องค์ 1'!K10)</f>
        <v>8) การตีพิมพ์เผยแพร่ผลงานของผู้สำเร็จการศึกษา</v>
      </c>
      <c r="C10" s="171"/>
      <c r="D10" s="171"/>
      <c r="E10" s="171"/>
      <c r="F10" s="171"/>
      <c r="G10" s="171"/>
      <c r="H10" s="171"/>
      <c r="I10" s="22"/>
      <c r="K10" s="19" t="s">
        <v>39</v>
      </c>
    </row>
    <row r="11" spans="1:11" x14ac:dyDescent="0.6">
      <c r="A11" s="17">
        <f>IF(DataSet!B3=DataSet!C19,DataSet!E20,DataSet!E19)</f>
        <v>1</v>
      </c>
      <c r="B11" s="171" t="str">
        <f>IF(DataSet!B3=DataSet!C19," ",'องค์ 1'!K11)</f>
        <v>9) ภาระงานอาจารย์ที่ปรึกษาวิทยานิพนธ์และการค้นคว้าอิสระนะระดับบัณฑิตศึกษา</v>
      </c>
      <c r="C11" s="171"/>
      <c r="D11" s="171"/>
      <c r="E11" s="171"/>
      <c r="F11" s="171"/>
      <c r="G11" s="171"/>
      <c r="H11" s="171"/>
      <c r="I11" s="22"/>
      <c r="K11" s="19" t="s">
        <v>38</v>
      </c>
    </row>
    <row r="12" spans="1:11" x14ac:dyDescent="0.6">
      <c r="A12" s="17">
        <f>IF(DataSet!B3=DataSet!C19,DataSet!E20,DataSet!E19)</f>
        <v>1</v>
      </c>
      <c r="B12" s="171" t="str">
        <f>IF(DataSet!B3=DataSet!C19," ",'องค์ 1'!K12)</f>
        <v>10) อาจารย์ที่ปรึกษาวิทยานิพนธ์และการค้นคว้าอิสระในระดับบัณฑิตมีผลงานวิจัยอย่างต่อเนื่องและสม่ำเสมอ</v>
      </c>
      <c r="C12" s="171"/>
      <c r="D12" s="171"/>
      <c r="E12" s="171"/>
      <c r="F12" s="171"/>
      <c r="G12" s="171"/>
      <c r="H12" s="171"/>
      <c r="I12" s="22"/>
      <c r="K12" s="19" t="s">
        <v>37</v>
      </c>
    </row>
    <row r="13" spans="1:11" x14ac:dyDescent="0.6">
      <c r="A13" s="17">
        <f>IF(DataSet!B3=DataSet!C19,DataSet!E19,DataSet!E19)</f>
        <v>1</v>
      </c>
      <c r="B13" s="172" t="s">
        <v>36</v>
      </c>
      <c r="C13" s="172"/>
      <c r="D13" s="172"/>
      <c r="E13" s="172"/>
      <c r="F13" s="172"/>
      <c r="G13" s="172"/>
      <c r="H13" s="172"/>
      <c r="I13" s="22"/>
    </row>
    <row r="15" spans="1:11" s="19" customFormat="1" x14ac:dyDescent="0.6">
      <c r="A15" s="21" t="s">
        <v>31</v>
      </c>
      <c r="B15" s="19" t="s">
        <v>32</v>
      </c>
      <c r="D15" s="21">
        <f>COUNTIF(I3:I4,DataSet!G19)+COUNTIF(I13,DataSet!G19)</f>
        <v>0</v>
      </c>
      <c r="E15" s="19">
        <f>IF(DataSet!B3=DataSet!C19,'องค์ 1'!D15,0)</f>
        <v>0</v>
      </c>
      <c r="F15" s="21" t="str">
        <f>IF(E15&lt;3,DataSet!H20,DataSet!H19)</f>
        <v>ไม่ผ่าน</v>
      </c>
      <c r="G15" s="19">
        <f>IF(F15=DataSet!H19,DataSet!E19,DataSet!E20)</f>
        <v>0</v>
      </c>
      <c r="H15" s="21"/>
    </row>
    <row r="16" spans="1:11" s="19" customFormat="1" x14ac:dyDescent="0.6">
      <c r="B16" s="19" t="s">
        <v>33</v>
      </c>
      <c r="D16" s="21">
        <f>COUNTIF(I3:I13,DataSet!G19)</f>
        <v>0</v>
      </c>
      <c r="E16" s="19">
        <f>IF(DataSet!B3&lt;&gt;DataSet!C19,'องค์ 1'!D16,0)</f>
        <v>0</v>
      </c>
      <c r="F16" s="21" t="str">
        <f>IF(E16&lt;11,DataSet!H20,DataSet!H19)</f>
        <v>ไม่ผ่าน</v>
      </c>
      <c r="G16" s="19">
        <f>IF(F16=DataSet!H19,DataSet!E19,DataSet!E20)</f>
        <v>0</v>
      </c>
      <c r="H16" s="21"/>
    </row>
    <row r="17" spans="1:4" s="79" customFormat="1" x14ac:dyDescent="0.6">
      <c r="D17" s="78"/>
    </row>
    <row r="18" spans="1:4" s="79" customFormat="1" x14ac:dyDescent="0.6">
      <c r="D18" s="78"/>
    </row>
    <row r="19" spans="1:4" s="79" customFormat="1" x14ac:dyDescent="0.6">
      <c r="D19" s="78"/>
    </row>
    <row r="20" spans="1:4" s="79" customFormat="1" x14ac:dyDescent="0.6">
      <c r="D20" s="78"/>
    </row>
    <row r="21" spans="1:4" s="79" customFormat="1" x14ac:dyDescent="0.6">
      <c r="D21" s="78"/>
    </row>
    <row r="22" spans="1:4" s="79" customFormat="1" x14ac:dyDescent="0.6">
      <c r="D22" s="78"/>
    </row>
    <row r="23" spans="1:4" s="79" customFormat="1" x14ac:dyDescent="0.6">
      <c r="D23" s="78"/>
    </row>
    <row r="24" spans="1:4" s="79" customFormat="1" x14ac:dyDescent="0.6">
      <c r="D24" s="78"/>
    </row>
    <row r="25" spans="1:4" s="79" customFormat="1" x14ac:dyDescent="0.6">
      <c r="D25" s="78"/>
    </row>
    <row r="26" spans="1:4" s="79" customFormat="1" x14ac:dyDescent="0.6">
      <c r="D26" s="78"/>
    </row>
    <row r="27" spans="1:4" s="79" customFormat="1" x14ac:dyDescent="0.6">
      <c r="D27" s="78"/>
    </row>
    <row r="28" spans="1:4" s="79" customFormat="1" x14ac:dyDescent="0.6">
      <c r="D28" s="78"/>
    </row>
    <row r="29" spans="1:4" x14ac:dyDescent="0.6">
      <c r="A29" s="18"/>
    </row>
    <row r="30" spans="1:4" x14ac:dyDescent="0.6">
      <c r="A30" s="18"/>
    </row>
    <row r="31" spans="1:4" x14ac:dyDescent="0.6">
      <c r="A31" s="18"/>
    </row>
    <row r="32" spans="1:4" x14ac:dyDescent="0.6">
      <c r="A32" s="18"/>
    </row>
    <row r="33" spans="1:1" x14ac:dyDescent="0.6">
      <c r="A33" s="18"/>
    </row>
    <row r="34" spans="1:1" x14ac:dyDescent="0.6">
      <c r="A34" s="18"/>
    </row>
    <row r="35" spans="1:1" x14ac:dyDescent="0.6">
      <c r="A35" s="18"/>
    </row>
    <row r="36" spans="1:1" x14ac:dyDescent="0.6">
      <c r="A36" s="18"/>
    </row>
    <row r="39" spans="1:1" x14ac:dyDescent="0.6">
      <c r="A39" s="18"/>
    </row>
    <row r="40" spans="1:1" x14ac:dyDescent="0.6">
      <c r="A40" s="18"/>
    </row>
    <row r="41" spans="1:1" x14ac:dyDescent="0.6">
      <c r="A41" s="18"/>
    </row>
    <row r="42" spans="1:1" x14ac:dyDescent="0.6">
      <c r="A42" s="18"/>
    </row>
    <row r="44" spans="1:1" x14ac:dyDescent="0.6">
      <c r="A44" s="18"/>
    </row>
    <row r="45" spans="1:1" x14ac:dyDescent="0.6">
      <c r="A45" s="18"/>
    </row>
  </sheetData>
  <sheetProtection algorithmName="SHA-512" hashValue="Cyqi+/05s0N36a/nTcW+yBLriDKd62FBvB9IJlX/VRMvWSNrG0+XYh7GDIiTpRj4Lk4ANDsRJqE3FbwOgPSUMw==" saltValue="pifK7GPMfcvz9rz1xKmVrQ==" spinCount="100000" sheet="1" objects="1" scenarios="1" selectLockedCells="1"/>
  <mergeCells count="12">
    <mergeCell ref="A1:I1"/>
    <mergeCell ref="B11:H11"/>
    <mergeCell ref="B12:H12"/>
    <mergeCell ref="B13:H13"/>
    <mergeCell ref="B3:H3"/>
    <mergeCell ref="B4:H4"/>
    <mergeCell ref="B5:H5"/>
    <mergeCell ref="B6:H6"/>
    <mergeCell ref="B7:H7"/>
    <mergeCell ref="B8:H8"/>
    <mergeCell ref="B9:H9"/>
    <mergeCell ref="B10:H10"/>
  </mergeCells>
  <conditionalFormatting sqref="B5:I12">
    <cfRule type="notContainsBlanks" dxfId="51" priority="8">
      <formula>LEN(TRIM(B5))&gt;0</formula>
    </cfRule>
  </conditionalFormatting>
  <conditionalFormatting sqref="I3:I13">
    <cfRule type="cellIs" dxfId="50" priority="2" operator="equal">
      <formula>"ไม่มี"</formula>
    </cfRule>
    <cfRule type="cellIs" dxfId="49" priority="3" operator="equal">
      <formula>"มี"</formula>
    </cfRule>
    <cfRule type="containsBlanks" dxfId="48" priority="9">
      <formula>LEN(TRIM(I3))=0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5725077-0F4F-494D-9BA8-5820F00BBA4D}">
            <x14:iconSet iconSet="3Symbols2" showValue="0" custom="1">
              <x14:cfvo type="percent">
                <xm:f>0</xm:f>
              </x14:cfvo>
              <x14:cfvo type="percent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Flags" iconId="2"/>
            </x14:iconSet>
          </x14:cfRule>
          <xm:sqref>A3:A13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DataSet!$G$19:$G$20</xm:f>
          </x14:formula1>
          <xm:sqref>I3:I13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6"/>
  <sheetViews>
    <sheetView zoomScaleNormal="100" workbookViewId="0">
      <selection activeCell="I3" sqref="I3"/>
    </sheetView>
  </sheetViews>
  <sheetFormatPr defaultColWidth="8.25" defaultRowHeight="27.75" x14ac:dyDescent="0.65"/>
  <cols>
    <col min="1" max="1" width="6" style="11" customWidth="1"/>
    <col min="2" max="4" width="8.25" style="2"/>
    <col min="5" max="5" width="19.875" style="2" customWidth="1"/>
    <col min="6" max="6" width="14.125" style="2" customWidth="1"/>
    <col min="7" max="7" width="7.875" style="2" customWidth="1"/>
    <col min="8" max="8" width="9.875" style="11" customWidth="1"/>
    <col min="9" max="9" width="15.375" style="11" bestFit="1" customWidth="1"/>
    <col min="10" max="10" width="8.25" style="2"/>
    <col min="11" max="11" width="13.75" style="112" bestFit="1" customWidth="1"/>
    <col min="12" max="12" width="8.25" style="112"/>
    <col min="13" max="14" width="8.25" style="116"/>
    <col min="15" max="16" width="8.25" style="16"/>
    <col min="17" max="16384" width="8.25" style="2"/>
  </cols>
  <sheetData>
    <row r="1" spans="1:16" s="4" customFormat="1" ht="30.75" x14ac:dyDescent="0.7">
      <c r="A1" s="175" t="s">
        <v>46</v>
      </c>
      <c r="B1" s="175"/>
      <c r="C1" s="175"/>
      <c r="D1" s="175"/>
      <c r="E1" s="175"/>
      <c r="F1" s="175"/>
      <c r="G1" s="175"/>
      <c r="H1" s="175"/>
      <c r="I1" s="175"/>
      <c r="J1" s="175"/>
      <c r="K1" s="139"/>
      <c r="L1" s="139"/>
      <c r="M1" s="115"/>
      <c r="N1" s="115"/>
      <c r="O1" s="103"/>
      <c r="P1" s="103"/>
    </row>
    <row r="2" spans="1:16" s="4" customFormat="1" x14ac:dyDescent="0.65">
      <c r="A2" s="12" t="s">
        <v>47</v>
      </c>
      <c r="B2" s="12"/>
      <c r="C2" s="12"/>
      <c r="D2" s="12"/>
      <c r="E2" s="12"/>
      <c r="F2" s="12"/>
      <c r="G2" s="12"/>
      <c r="H2" s="176" t="s">
        <v>19</v>
      </c>
      <c r="I2" s="176"/>
      <c r="J2" s="176"/>
      <c r="K2" s="141">
        <v>0.2</v>
      </c>
      <c r="L2" s="141">
        <v>0.7</v>
      </c>
      <c r="M2" s="115"/>
      <c r="N2" s="115"/>
      <c r="O2" s="103"/>
      <c r="P2" s="103"/>
    </row>
    <row r="3" spans="1:16" x14ac:dyDescent="0.65">
      <c r="B3" s="2" t="s">
        <v>92</v>
      </c>
      <c r="H3" s="11" t="s">
        <v>65</v>
      </c>
      <c r="I3" s="34"/>
      <c r="J3" s="2" t="s">
        <v>91</v>
      </c>
      <c r="K3" s="112">
        <f>(20*I3)/100</f>
        <v>0</v>
      </c>
      <c r="L3" s="112">
        <f>(70*I3)/100</f>
        <v>0</v>
      </c>
    </row>
    <row r="4" spans="1:16" x14ac:dyDescent="0.65">
      <c r="A4" s="2"/>
      <c r="B4" s="2" t="s">
        <v>90</v>
      </c>
      <c r="I4" s="91"/>
      <c r="K4" s="142"/>
    </row>
    <row r="5" spans="1:16" x14ac:dyDescent="0.65">
      <c r="A5" s="2"/>
      <c r="B5" s="2" t="s">
        <v>171</v>
      </c>
      <c r="F5" s="104" t="s">
        <v>172</v>
      </c>
      <c r="G5" s="105" t="str">
        <f>IF(I3=0," ",(I5*100)/I3)</f>
        <v xml:space="preserve"> </v>
      </c>
      <c r="H5" s="11" t="s">
        <v>65</v>
      </c>
      <c r="I5" s="55"/>
      <c r="J5" s="2" t="s">
        <v>91</v>
      </c>
      <c r="K5" s="143">
        <f>IF(I3=0,0,IF(I5&lt;K3,0,IF(I4&gt;(I5*5),"ข้อมูลผิดพลาด",ROUNDUP((I4/I5),2))))</f>
        <v>0</v>
      </c>
    </row>
    <row r="6" spans="1:16" x14ac:dyDescent="0.65">
      <c r="A6" s="174" t="str">
        <f>IF(DataSet!B3=DataSet!C19,"ตัวบ่งชี้ 2.2 ร้อยละของบัณฑิตปริญญาตรีที่ได้งานทำ หรือ ประกอบอาชีพอิสระ ภายใน 1 ปี (สำหรับ ป.ตรี)"," ")</f>
        <v xml:space="preserve"> </v>
      </c>
      <c r="B6" s="174"/>
      <c r="C6" s="174"/>
      <c r="D6" s="174"/>
      <c r="E6" s="174"/>
      <c r="F6" s="174"/>
      <c r="G6" s="174"/>
      <c r="H6" s="174"/>
      <c r="I6" s="174"/>
      <c r="J6" s="174"/>
    </row>
    <row r="7" spans="1:16" x14ac:dyDescent="0.65">
      <c r="A7" s="2"/>
      <c r="B7" s="2" t="str">
        <f>IF(DataSet!B3=DataSet!C19,"จำนวนบัณฑิตที่ตอบแบบสำรวจทั้งหมด"," ")</f>
        <v xml:space="preserve"> </v>
      </c>
      <c r="H7" s="11" t="str">
        <f>IF(DataSet!B3=DataSet!C19,"จำนวน"," ")</f>
        <v xml:space="preserve"> </v>
      </c>
      <c r="I7" s="34"/>
      <c r="J7" s="2" t="str">
        <f>IF(DataSet!B3=DataSet!C19,"คน"," ")</f>
        <v xml:space="preserve"> </v>
      </c>
      <c r="K7" s="144" t="s">
        <v>67</v>
      </c>
      <c r="L7" s="86" t="e">
        <f>IF(I7&lt;L3,0,(I11*100)/I7)</f>
        <v>#DIV/0!</v>
      </c>
    </row>
    <row r="8" spans="1:16" x14ac:dyDescent="0.65">
      <c r="A8" s="2"/>
      <c r="B8" s="2" t="str">
        <f>IF(DataSet!B3=DataSet!C19,"จำนวนบัณฑิตปริญญาตรีที่ได้งานทำ (ตรงสาขาที่เรียน) ภายใน 1 ปี"," ")</f>
        <v xml:space="preserve"> </v>
      </c>
      <c r="H8" s="11" t="str">
        <f>IF(DataSet!B3=DataSet!C19,"จำนวน"," ")</f>
        <v xml:space="preserve"> </v>
      </c>
      <c r="I8" s="34"/>
      <c r="J8" s="2" t="str">
        <f>IF(DataSet!B3=DataSet!C19,"คน"," ")</f>
        <v xml:space="preserve"> </v>
      </c>
      <c r="K8" s="142" t="s">
        <v>93</v>
      </c>
      <c r="L8" s="86">
        <f>IF(I3=0,0,ROUNDUP((L7*5)/100,2))</f>
        <v>0</v>
      </c>
      <c r="O8" s="16" t="str">
        <f>IF(DataSet!B3=DataSet!C19,"จำนวนบัณฑิตปริญญาตรีที่ได้งานทำ หรือ ประกอบอาชีพอิสระ ภายใน 1 ปี"," ")</f>
        <v xml:space="preserve"> </v>
      </c>
    </row>
    <row r="9" spans="1:16" x14ac:dyDescent="0.65">
      <c r="A9" s="2"/>
      <c r="B9" s="2" t="str">
        <f>IF(DataSet!B3=DataSet!C19,"จำนวนบัณฑิตปริญญาตรีที่ได้งานทำ (ไม่ตรงสาขาที่เรียน) ภายใน 1 ปี"," ")</f>
        <v xml:space="preserve"> </v>
      </c>
      <c r="H9" s="11" t="str">
        <f>IF(DataSet!B3=DataSet!C19,"จำนวน"," ")</f>
        <v xml:space="preserve"> </v>
      </c>
      <c r="I9" s="34"/>
      <c r="J9" s="2" t="str">
        <f>IF(DataSet!B3=DataSet!C19,"คน"," ")</f>
        <v xml:space="preserve"> </v>
      </c>
      <c r="K9" s="142"/>
      <c r="L9" s="86"/>
    </row>
    <row r="10" spans="1:16" x14ac:dyDescent="0.65">
      <c r="A10" s="2"/>
      <c r="B10" s="2" t="str">
        <f>IF(DataSet!B3=DataSet!C19,"จำนวนบัณฑิตที่ประกอบอาชีพอิสระ ภายใน 1 ปี"," ")</f>
        <v xml:space="preserve"> </v>
      </c>
      <c r="H10" s="11" t="str">
        <f>IF(DataSet!B3=DataSet!C19,"จำนวน"," ")</f>
        <v xml:space="preserve"> </v>
      </c>
      <c r="I10" s="34"/>
      <c r="J10" s="2" t="str">
        <f>IF(DataSet!B3=DataSet!C19,"คน"," ")</f>
        <v xml:space="preserve"> </v>
      </c>
      <c r="K10" s="142"/>
      <c r="L10" s="86"/>
    </row>
    <row r="11" spans="1:16" x14ac:dyDescent="0.65">
      <c r="A11" s="2"/>
      <c r="C11" s="2" t="str">
        <f>IF(DataSet!B3=DataSet!C19,"รวมจำนวนบัณฑิตที่ได้งานทำ (ทุกกรณี) ทั้งสิ้น"," ")</f>
        <v xml:space="preserve"> </v>
      </c>
      <c r="H11" s="11" t="str">
        <f>IF(DataSet!B3=DataSet!C19,"จำนวน"," ")</f>
        <v xml:space="preserve"> </v>
      </c>
      <c r="I11" s="43">
        <f>I7-SUM(I12:I15)</f>
        <v>0</v>
      </c>
      <c r="J11" s="2" t="str">
        <f>IF(DataSet!B3=DataSet!C19,"คน"," ")</f>
        <v xml:space="preserve"> </v>
      </c>
      <c r="K11" s="142"/>
      <c r="L11" s="86"/>
    </row>
    <row r="12" spans="1:16" x14ac:dyDescent="0.65">
      <c r="A12" s="2"/>
      <c r="B12" s="2" t="str">
        <f>IF(DataSet!B3=DataSet!C19,"จำนวนบัณฑิตที่มีงานทำก่อนเข้าศึกษา"," ")</f>
        <v xml:space="preserve"> </v>
      </c>
      <c r="H12" s="11" t="str">
        <f>IF(DataSet!B3=DataSet!C19,"จำนวน"," ")</f>
        <v xml:space="preserve"> </v>
      </c>
      <c r="I12" s="34"/>
      <c r="J12" s="2" t="str">
        <f>IF(DataSet!B3=DataSet!C19,"คน"," ")</f>
        <v xml:space="preserve"> </v>
      </c>
      <c r="K12" s="142"/>
      <c r="L12" s="86"/>
    </row>
    <row r="13" spans="1:16" x14ac:dyDescent="0.65">
      <c r="A13" s="2"/>
      <c r="B13" s="2" t="str">
        <f>IF(DataSet!B3=DataSet!C19,"จำนวนบัณฑิตที่ศึกษาต่อ"," ")</f>
        <v xml:space="preserve"> </v>
      </c>
      <c r="H13" s="11" t="str">
        <f>IF(DataSet!B3=DataSet!C19,"จำนวน"," ")</f>
        <v xml:space="preserve"> </v>
      </c>
      <c r="I13" s="55"/>
      <c r="J13" s="2" t="str">
        <f>IF(DataSet!B3=DataSet!C19,"คน"," ")</f>
        <v xml:space="preserve"> </v>
      </c>
    </row>
    <row r="14" spans="1:16" x14ac:dyDescent="0.65">
      <c r="A14" s="2"/>
      <c r="B14" s="2" t="str">
        <f>IF(DataSet!B3=DataSet!C19,"จำนวนบัณฑิตที่เกณฑ์ทหาร"," ")</f>
        <v xml:space="preserve"> </v>
      </c>
      <c r="H14" s="11" t="str">
        <f>IF(DataSet!B3=DataSet!C19,"จำนวน"," ")</f>
        <v xml:space="preserve"> </v>
      </c>
      <c r="I14" s="55"/>
      <c r="J14" s="2" t="str">
        <f>IF(DataSet!B3=DataSet!C19,"คน"," ")</f>
        <v xml:space="preserve"> </v>
      </c>
      <c r="K14" s="173"/>
    </row>
    <row r="15" spans="1:16" x14ac:dyDescent="0.65">
      <c r="A15" s="2"/>
      <c r="B15" s="2" t="str">
        <f>IF(DataSet!B3=DataSet!C19,"จำนวนบัณฑิตที่อุปสมบท"," ")</f>
        <v xml:space="preserve"> </v>
      </c>
      <c r="H15" s="11" t="str">
        <f>IF(DataSet!B3=DataSet!C19,"จำนวน"," ")</f>
        <v xml:space="preserve"> </v>
      </c>
      <c r="I15" s="55"/>
      <c r="J15" s="2" t="str">
        <f>IF(DataSet!B3=DataSet!C19,"คน"," ")</f>
        <v xml:space="preserve"> </v>
      </c>
      <c r="K15" s="173"/>
    </row>
    <row r="16" spans="1:16" x14ac:dyDescent="0.65">
      <c r="A16" s="174" t="str">
        <f>IF(DataSet!B3=DataSet!C20,"ตัวบ่งชี้ 2.2 ผลงานของนักศึกษาและผู้สำเร็จการศึกษาในระดับปริญญาโทที่ได้รับการตีพิมพ์หรือเผยแพร่ (สำหรับ ป.โท)"," ")</f>
        <v xml:space="preserve"> </v>
      </c>
      <c r="B16" s="174"/>
      <c r="C16" s="174"/>
      <c r="D16" s="174"/>
      <c r="E16" s="174"/>
      <c r="F16" s="174"/>
      <c r="G16" s="174"/>
      <c r="H16" s="174"/>
      <c r="I16" s="174"/>
      <c r="J16" s="174"/>
    </row>
    <row r="17" spans="1:12" x14ac:dyDescent="0.65">
      <c r="A17" s="2"/>
      <c r="B17" s="2" t="str">
        <f>IF(DataSet!B3=DataSet!C20,"จำนวนผู้สำเร็จการศึกษาระดับปริญญาโททั้งหมด"," ")</f>
        <v xml:space="preserve"> </v>
      </c>
      <c r="H17" s="11" t="str">
        <f>IF(DataSet!B3=DataSet!C20,"จำนวน"," ")</f>
        <v xml:space="preserve"> </v>
      </c>
      <c r="I17" s="43" t="str">
        <f>IF(DataSet!B3=DataSet!C19," ",IF(DataSet!B3=DataSet!C20,I3," "))</f>
        <v xml:space="preserve"> </v>
      </c>
      <c r="J17" s="2" t="str">
        <f>IF(DataSet!B3=DataSet!C20,"คน"," ")</f>
        <v xml:space="preserve"> </v>
      </c>
      <c r="K17" s="145" t="s">
        <v>67</v>
      </c>
      <c r="L17" s="86" t="e">
        <f>(I18*100)/I17</f>
        <v>#VALUE!</v>
      </c>
    </row>
    <row r="18" spans="1:12" x14ac:dyDescent="0.65">
      <c r="A18" s="2"/>
      <c r="B18" s="2" t="str">
        <f>IF(DataSet!B3=DataSet!C20,"ผลรวมถ่วงน้ำหนักผลงานที่ตีพิมพ์หรือเผยแพร่ของ นศ.ปริญญาโท (ในปีการประเมิน)"," ")</f>
        <v xml:space="preserve"> </v>
      </c>
      <c r="I18" s="55"/>
      <c r="K18" s="145" t="s">
        <v>93</v>
      </c>
      <c r="L18" s="86">
        <f>IF(I3=0,0,IF(L17&gt;40,5,((L17*5)/40)))</f>
        <v>0</v>
      </c>
    </row>
    <row r="19" spans="1:12" x14ac:dyDescent="0.65">
      <c r="A19" s="174" t="str">
        <f>IF(DataSet!B3=DataSet!C21,"ตัวบ่งชี้ 2.2 ผลงานของนักศึกษาและผู้สำเร็จการศึกษาในระดับปริญญาเอกที่ได้รับการตีพิมพ์หรือเผยแพร่"," ")</f>
        <v xml:space="preserve"> </v>
      </c>
      <c r="B19" s="174"/>
      <c r="C19" s="174"/>
      <c r="D19" s="174"/>
      <c r="E19" s="174"/>
      <c r="F19" s="174"/>
      <c r="G19" s="174"/>
      <c r="H19" s="174"/>
      <c r="I19" s="174"/>
      <c r="J19" s="174"/>
    </row>
    <row r="20" spans="1:12" x14ac:dyDescent="0.65">
      <c r="A20" s="2"/>
      <c r="B20" s="2" t="str">
        <f>IF(DataSet!B3=DataSet!C21,"จำนวนผู้สำเร็จการศึกษาระดับปริญญาเอกทั้งหมด"," ")</f>
        <v xml:space="preserve"> </v>
      </c>
      <c r="H20" s="11" t="str">
        <f>IF(DataSet!B3=DataSet!C21,"จำนวน"," ")</f>
        <v xml:space="preserve"> </v>
      </c>
      <c r="I20" s="43">
        <f>IF(DataSet!B3=DataSet!C19," ",IF(DataSet!B3=DataSet!C20," ",I3))</f>
        <v>0</v>
      </c>
      <c r="J20" s="2" t="str">
        <f>IF(DataSet!B3=DataSet!C21,"คน"," ")</f>
        <v xml:space="preserve"> </v>
      </c>
      <c r="K20" s="145" t="s">
        <v>67</v>
      </c>
      <c r="L20" s="86" t="e">
        <f>(I21*100)/I20</f>
        <v>#DIV/0!</v>
      </c>
    </row>
    <row r="21" spans="1:12" x14ac:dyDescent="0.65">
      <c r="A21" s="2"/>
      <c r="B21" s="2" t="str">
        <f>IF(DataSet!B3=DataSet!C21,"ผลรวมถ่วงน้ำหนักผลงานที่ตีพิมพ์หรือเผยแพร่ของ นศ.ปริญญาเอก (ในปีการประเมิน)"," ")</f>
        <v xml:space="preserve"> </v>
      </c>
      <c r="I21" s="55"/>
      <c r="K21" s="145" t="s">
        <v>93</v>
      </c>
      <c r="L21" s="86">
        <f>IF(I3=0,0,IF(L20&gt;80,5,((L20*5)/80)))</f>
        <v>0</v>
      </c>
    </row>
    <row r="22" spans="1:12" x14ac:dyDescent="0.65">
      <c r="A22" s="2"/>
    </row>
    <row r="23" spans="1:12" x14ac:dyDescent="0.65">
      <c r="A23" s="2"/>
      <c r="G23" s="2" t="s">
        <v>97</v>
      </c>
    </row>
    <row r="24" spans="1:12" x14ac:dyDescent="0.65">
      <c r="A24" s="2"/>
    </row>
    <row r="25" spans="1:12" x14ac:dyDescent="0.65">
      <c r="A25" s="2"/>
    </row>
    <row r="26" spans="1:12" x14ac:dyDescent="0.65">
      <c r="A26" s="2"/>
    </row>
    <row r="27" spans="1:12" x14ac:dyDescent="0.65">
      <c r="A27" s="2"/>
    </row>
    <row r="30" spans="1:12" ht="24" customHeight="1" x14ac:dyDescent="0.65">
      <c r="A30" s="2"/>
    </row>
    <row r="31" spans="1:12" ht="24" customHeight="1" x14ac:dyDescent="0.65">
      <c r="A31" s="2"/>
    </row>
    <row r="32" spans="1:12" ht="24" customHeight="1" x14ac:dyDescent="0.65">
      <c r="A32" s="2"/>
    </row>
    <row r="33" spans="1:1" ht="24" customHeight="1" x14ac:dyDescent="0.65">
      <c r="A33" s="2"/>
    </row>
    <row r="35" spans="1:1" ht="24" customHeight="1" x14ac:dyDescent="0.65">
      <c r="A35" s="2"/>
    </row>
    <row r="36" spans="1:1" ht="24" customHeight="1" x14ac:dyDescent="0.65">
      <c r="A36" s="2"/>
    </row>
  </sheetData>
  <sheetProtection algorithmName="SHA-512" hashValue="9zH+b+UbIg86XpLECE1DMi1ZN5XSfYC4gouB92soOjRqn25uRR+UojEMFI5pzrAzerQKux0gw8+bqVUWECN1EQ==" saltValue="5WfBIr6VLDO1PcACWXcBWg==" spinCount="100000" sheet="1" objects="1" scenarios="1" selectLockedCells="1"/>
  <mergeCells count="6">
    <mergeCell ref="K14:K15"/>
    <mergeCell ref="A19:J19"/>
    <mergeCell ref="A16:J16"/>
    <mergeCell ref="A1:J1"/>
    <mergeCell ref="H2:J2"/>
    <mergeCell ref="A6:J6"/>
  </mergeCells>
  <conditionalFormatting sqref="A16 A6 A19">
    <cfRule type="containsBlanks" dxfId="47" priority="12">
      <formula>LEN(TRIM(A6))=0</formula>
    </cfRule>
  </conditionalFormatting>
  <conditionalFormatting sqref="I4">
    <cfRule type="expression" dxfId="46" priority="10">
      <formula>($I$5*5)&lt;$I$4</formula>
    </cfRule>
  </conditionalFormatting>
  <conditionalFormatting sqref="I7">
    <cfRule type="cellIs" dxfId="45" priority="5" operator="lessThan">
      <formula>$L$3</formula>
    </cfRule>
    <cfRule type="expression" dxfId="44" priority="9">
      <formula>$I$7&gt;$I$3</formula>
    </cfRule>
  </conditionalFormatting>
  <conditionalFormatting sqref="I5">
    <cfRule type="cellIs" dxfId="43" priority="1" operator="equal">
      <formula>0</formula>
    </cfRule>
    <cfRule type="cellIs" dxfId="42" priority="3" operator="equal">
      <formula>0</formula>
    </cfRule>
    <cfRule type="cellIs" dxfId="41" priority="6" operator="between">
      <formula>$K$3</formula>
      <formula>"&gt;$K$3"</formula>
    </cfRule>
    <cfRule type="cellIs" dxfId="40" priority="8" operator="lessThan">
      <formula>$K$3</formula>
    </cfRule>
  </conditionalFormatting>
  <conditionalFormatting sqref="G5">
    <cfRule type="cellIs" dxfId="39" priority="2" operator="equal">
      <formula>0</formula>
    </cfRule>
    <cfRule type="cellIs" dxfId="38" priority="7" operator="lessThan">
      <formula>$K$3</formula>
    </cfRule>
  </conditionalFormatting>
  <conditionalFormatting sqref="I11">
    <cfRule type="containsText" dxfId="37" priority="4" operator="containsText" text="น่าจะใส่จำนวนผิด">
      <formula>NOT(ISERROR(SEARCH("น่าจะใส่จำนวนผิด",I11)))</formula>
    </cfRule>
  </conditionalFormatting>
  <dataValidations count="1">
    <dataValidation allowBlank="1" showInputMessage="1" showErrorMessage="1" prompt="เงื่อนไข ..._x000a_ไม่มีข้อมูล _x000a_ให้ใส่ค่า 0" sqref="I7:I15 I3:I5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N46"/>
  <sheetViews>
    <sheetView zoomScaleNormal="100" workbookViewId="0">
      <selection activeCell="C4" sqref="C4"/>
    </sheetView>
  </sheetViews>
  <sheetFormatPr defaultColWidth="8.25" defaultRowHeight="24" x14ac:dyDescent="0.55000000000000004"/>
  <cols>
    <col min="1" max="1" width="5.25" style="7" customWidth="1"/>
    <col min="2" max="2" width="19.5" style="6" customWidth="1"/>
    <col min="3" max="8" width="12.375" style="6" customWidth="1"/>
    <col min="9" max="9" width="8.375" style="33" bestFit="1" customWidth="1"/>
    <col min="10" max="11" width="8.25" style="140"/>
    <col min="12" max="14" width="8.25" style="7"/>
    <col min="15" max="16384" width="8.25" style="6"/>
  </cols>
  <sheetData>
    <row r="1" spans="1:14" s="5" customFormat="1" ht="30.75" x14ac:dyDescent="0.7">
      <c r="A1" s="179" t="s">
        <v>48</v>
      </c>
      <c r="B1" s="179"/>
      <c r="C1" s="179"/>
      <c r="D1" s="179"/>
      <c r="E1" s="179"/>
      <c r="F1" s="179"/>
      <c r="G1" s="179"/>
      <c r="H1" s="179"/>
      <c r="I1" s="30"/>
      <c r="J1" s="138"/>
      <c r="K1" s="138"/>
      <c r="L1" s="8"/>
      <c r="M1" s="8"/>
      <c r="N1" s="8"/>
    </row>
    <row r="2" spans="1:14" s="5" customFormat="1" ht="30.75" x14ac:dyDescent="0.7">
      <c r="A2" s="180" t="s">
        <v>51</v>
      </c>
      <c r="B2" s="180"/>
      <c r="C2" s="8">
        <v>0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30"/>
      <c r="J2" s="138"/>
      <c r="K2" s="138"/>
      <c r="L2" s="8"/>
      <c r="M2" s="8"/>
      <c r="N2" s="8"/>
    </row>
    <row r="3" spans="1:14" s="4" customFormat="1" ht="27.75" x14ac:dyDescent="0.65">
      <c r="A3" s="29" t="s">
        <v>50</v>
      </c>
      <c r="B3" s="29"/>
      <c r="C3" s="29"/>
      <c r="D3" s="29"/>
      <c r="E3" s="29"/>
      <c r="F3" s="29"/>
      <c r="G3" s="29"/>
      <c r="H3" s="29"/>
      <c r="I3" s="31"/>
      <c r="J3" s="139"/>
      <c r="K3" s="139"/>
      <c r="L3" s="10"/>
      <c r="M3" s="10"/>
      <c r="N3" s="10"/>
    </row>
    <row r="4" spans="1:14" s="2" customFormat="1" ht="27.75" x14ac:dyDescent="0.65">
      <c r="A4" s="178" t="s">
        <v>49</v>
      </c>
      <c r="B4" s="178"/>
      <c r="C4" s="69"/>
      <c r="D4" s="34"/>
      <c r="E4" s="35"/>
      <c r="F4" s="35"/>
      <c r="G4" s="35"/>
      <c r="H4" s="35"/>
      <c r="I4" s="94">
        <f>COUNTIF(D4:H4,DataSet!G19)</f>
        <v>0</v>
      </c>
      <c r="J4" s="112"/>
      <c r="K4" s="112"/>
      <c r="L4" s="11"/>
      <c r="M4" s="11"/>
      <c r="N4" s="11"/>
    </row>
    <row r="5" spans="1:14" s="2" customFormat="1" ht="27.75" x14ac:dyDescent="0.65">
      <c r="A5" s="177" t="s">
        <v>52</v>
      </c>
      <c r="B5" s="177"/>
      <c r="C5" s="177"/>
      <c r="D5" s="177"/>
      <c r="E5" s="177"/>
      <c r="F5" s="177"/>
      <c r="G5" s="177"/>
      <c r="H5" s="177"/>
      <c r="I5" s="32"/>
      <c r="J5" s="112"/>
      <c r="K5" s="112"/>
      <c r="L5" s="11"/>
      <c r="M5" s="11"/>
      <c r="N5" s="11"/>
    </row>
    <row r="6" spans="1:14" s="2" customFormat="1" ht="27.75" x14ac:dyDescent="0.65">
      <c r="A6" s="178" t="s">
        <v>49</v>
      </c>
      <c r="B6" s="178"/>
      <c r="C6" s="34"/>
      <c r="D6" s="35"/>
      <c r="E6" s="35"/>
      <c r="F6" s="35"/>
      <c r="G6" s="35"/>
      <c r="H6" s="35"/>
      <c r="I6" s="94">
        <f>COUNTIF(D6:H6,DataSet!G19)</f>
        <v>0</v>
      </c>
      <c r="J6" s="112"/>
      <c r="K6" s="112"/>
      <c r="L6" s="11"/>
      <c r="M6" s="11"/>
      <c r="N6" s="11"/>
    </row>
    <row r="7" spans="1:14" s="2" customFormat="1" ht="27.75" x14ac:dyDescent="0.65">
      <c r="A7" s="177" t="s">
        <v>53</v>
      </c>
      <c r="B7" s="177"/>
      <c r="C7" s="177"/>
      <c r="D7" s="177"/>
      <c r="E7" s="177"/>
      <c r="F7" s="177"/>
      <c r="G7" s="177"/>
      <c r="H7" s="177"/>
      <c r="I7" s="32"/>
      <c r="J7" s="112"/>
      <c r="K7" s="112"/>
      <c r="L7" s="11"/>
      <c r="M7" s="11"/>
      <c r="N7" s="11"/>
    </row>
    <row r="8" spans="1:14" s="2" customFormat="1" ht="27.75" x14ac:dyDescent="0.65">
      <c r="A8" s="178" t="s">
        <v>49</v>
      </c>
      <c r="B8" s="178"/>
      <c r="C8" s="34"/>
      <c r="D8" s="35"/>
      <c r="E8" s="35"/>
      <c r="F8" s="35"/>
      <c r="G8" s="35"/>
      <c r="H8" s="35"/>
      <c r="I8" s="94">
        <f>COUNTIF(D8:H8,DataSet!G19)</f>
        <v>0</v>
      </c>
      <c r="J8" s="112"/>
      <c r="K8" s="112"/>
      <c r="L8" s="11"/>
      <c r="M8" s="11"/>
      <c r="N8" s="11"/>
    </row>
    <row r="9" spans="1:14" s="2" customFormat="1" ht="27.75" x14ac:dyDescent="0.65">
      <c r="A9" s="28"/>
      <c r="B9" s="26"/>
      <c r="C9" s="26"/>
      <c r="D9" s="26"/>
      <c r="E9" s="26"/>
      <c r="F9" s="26"/>
      <c r="G9" s="26"/>
      <c r="H9" s="26"/>
      <c r="I9" s="32"/>
      <c r="J9" s="112"/>
      <c r="K9" s="112"/>
      <c r="L9" s="11"/>
      <c r="M9" s="11"/>
      <c r="N9" s="11"/>
    </row>
    <row r="10" spans="1:14" s="2" customFormat="1" ht="27.75" x14ac:dyDescent="0.65">
      <c r="A10" s="28"/>
      <c r="B10" s="26"/>
      <c r="C10" s="26"/>
      <c r="D10" s="26"/>
      <c r="E10" s="26"/>
      <c r="F10" s="26"/>
      <c r="G10" s="26"/>
      <c r="H10" s="26"/>
      <c r="I10" s="32"/>
      <c r="J10" s="112"/>
      <c r="K10" s="112"/>
      <c r="L10" s="11"/>
      <c r="M10" s="11"/>
      <c r="N10" s="11"/>
    </row>
    <row r="11" spans="1:14" s="2" customFormat="1" ht="27.75" x14ac:dyDescent="0.65">
      <c r="A11" s="28"/>
      <c r="B11" s="26"/>
      <c r="C11" s="26"/>
      <c r="D11" s="26"/>
      <c r="E11" s="26"/>
      <c r="F11" s="26"/>
      <c r="G11" s="26"/>
      <c r="H11" s="26"/>
      <c r="I11" s="32"/>
      <c r="J11" s="112"/>
      <c r="K11" s="112"/>
      <c r="L11" s="11"/>
      <c r="M11" s="11"/>
      <c r="N11" s="11"/>
    </row>
    <row r="12" spans="1:14" s="2" customFormat="1" ht="27.75" x14ac:dyDescent="0.65">
      <c r="A12" s="28"/>
      <c r="B12" s="26"/>
      <c r="C12" s="26"/>
      <c r="D12" s="26"/>
      <c r="E12" s="26"/>
      <c r="F12" s="26"/>
      <c r="G12" s="26"/>
      <c r="H12" s="26"/>
      <c r="I12" s="32"/>
      <c r="J12" s="112"/>
      <c r="K12" s="112"/>
      <c r="L12" s="11"/>
      <c r="M12" s="11"/>
      <c r="N12" s="11"/>
    </row>
    <row r="13" spans="1:14" s="2" customFormat="1" ht="27.75" x14ac:dyDescent="0.65">
      <c r="A13" s="28"/>
      <c r="B13" s="26"/>
      <c r="C13" s="26"/>
      <c r="D13" s="26"/>
      <c r="E13" s="26"/>
      <c r="F13" s="26"/>
      <c r="G13" s="26"/>
      <c r="H13" s="26"/>
      <c r="I13" s="32"/>
      <c r="J13" s="112"/>
      <c r="K13" s="112"/>
      <c r="L13" s="11"/>
      <c r="M13" s="11"/>
      <c r="N13" s="11"/>
    </row>
    <row r="14" spans="1:14" s="2" customFormat="1" ht="23.25" customHeight="1" x14ac:dyDescent="0.65">
      <c r="A14" s="28"/>
      <c r="B14" s="26"/>
      <c r="C14" s="26"/>
      <c r="D14" s="26"/>
      <c r="E14" s="26"/>
      <c r="F14" s="26"/>
      <c r="G14" s="26"/>
      <c r="H14" s="26"/>
      <c r="I14" s="32"/>
      <c r="J14" s="112"/>
      <c r="K14" s="112"/>
      <c r="L14" s="11"/>
      <c r="M14" s="11"/>
      <c r="N14" s="11"/>
    </row>
    <row r="15" spans="1:14" ht="24" customHeight="1" x14ac:dyDescent="0.55000000000000004">
      <c r="A15" s="25"/>
      <c r="B15" s="24"/>
      <c r="C15" s="24"/>
      <c r="D15" s="24"/>
      <c r="E15" s="24"/>
      <c r="F15" s="24"/>
      <c r="G15" s="24"/>
      <c r="H15" s="24"/>
    </row>
    <row r="16" spans="1:14" ht="24" customHeight="1" x14ac:dyDescent="0.55000000000000004"/>
    <row r="17" spans="1:1" ht="24" customHeight="1" x14ac:dyDescent="0.55000000000000004">
      <c r="A17" s="6"/>
    </row>
    <row r="18" spans="1:1" ht="24" customHeight="1" x14ac:dyDescent="0.55000000000000004">
      <c r="A18" s="6"/>
    </row>
    <row r="19" spans="1:1" ht="24" customHeight="1" x14ac:dyDescent="0.55000000000000004">
      <c r="A19" s="6"/>
    </row>
    <row r="20" spans="1:1" ht="24" customHeight="1" x14ac:dyDescent="0.55000000000000004">
      <c r="A20" s="6"/>
    </row>
    <row r="21" spans="1:1" ht="24" customHeight="1" x14ac:dyDescent="0.55000000000000004">
      <c r="A21" s="6"/>
    </row>
    <row r="22" spans="1:1" ht="24" customHeight="1" x14ac:dyDescent="0.55000000000000004">
      <c r="A22" s="6"/>
    </row>
    <row r="23" spans="1:1" ht="24" customHeight="1" x14ac:dyDescent="0.55000000000000004">
      <c r="A23" s="6"/>
    </row>
    <row r="24" spans="1:1" ht="24" customHeight="1" x14ac:dyDescent="0.55000000000000004">
      <c r="A24" s="6"/>
    </row>
    <row r="25" spans="1:1" ht="24" customHeight="1" x14ac:dyDescent="0.55000000000000004">
      <c r="A25" s="6"/>
    </row>
    <row r="26" spans="1:1" ht="24" customHeight="1" x14ac:dyDescent="0.55000000000000004">
      <c r="A26" s="6"/>
    </row>
    <row r="27" spans="1:1" ht="24" customHeight="1" x14ac:dyDescent="0.55000000000000004">
      <c r="A27" s="6"/>
    </row>
    <row r="28" spans="1:1" ht="24" customHeight="1" x14ac:dyDescent="0.55000000000000004">
      <c r="A28" s="6"/>
    </row>
    <row r="29" spans="1:1" ht="24" customHeight="1" x14ac:dyDescent="0.55000000000000004">
      <c r="A29" s="6"/>
    </row>
    <row r="30" spans="1:1" ht="24" customHeight="1" x14ac:dyDescent="0.55000000000000004">
      <c r="A30" s="6"/>
    </row>
    <row r="31" spans="1:1" ht="24" customHeight="1" x14ac:dyDescent="0.55000000000000004">
      <c r="A31" s="6"/>
    </row>
    <row r="32" spans="1:1" ht="24" customHeight="1" x14ac:dyDescent="0.55000000000000004">
      <c r="A32" s="6"/>
    </row>
    <row r="33" spans="1:1" ht="24" customHeight="1" x14ac:dyDescent="0.55000000000000004">
      <c r="A33" s="6"/>
    </row>
    <row r="34" spans="1:1" ht="24" customHeight="1" x14ac:dyDescent="0.55000000000000004">
      <c r="A34" s="6"/>
    </row>
    <row r="35" spans="1:1" ht="24" customHeight="1" x14ac:dyDescent="0.55000000000000004">
      <c r="A35" s="6"/>
    </row>
    <row r="36" spans="1:1" ht="24" customHeight="1" x14ac:dyDescent="0.55000000000000004">
      <c r="A36" s="6"/>
    </row>
    <row r="37" spans="1:1" ht="24" customHeight="1" x14ac:dyDescent="0.55000000000000004">
      <c r="A37" s="6"/>
    </row>
    <row r="40" spans="1:1" ht="24" customHeight="1" x14ac:dyDescent="0.55000000000000004">
      <c r="A40" s="6"/>
    </row>
    <row r="41" spans="1:1" ht="24" customHeight="1" x14ac:dyDescent="0.55000000000000004">
      <c r="A41" s="6"/>
    </row>
    <row r="42" spans="1:1" ht="24" customHeight="1" x14ac:dyDescent="0.55000000000000004">
      <c r="A42" s="6"/>
    </row>
    <row r="43" spans="1:1" ht="24" customHeight="1" x14ac:dyDescent="0.55000000000000004">
      <c r="A43" s="6"/>
    </row>
    <row r="45" spans="1:1" ht="24" customHeight="1" x14ac:dyDescent="0.55000000000000004">
      <c r="A45" s="6"/>
    </row>
    <row r="46" spans="1:1" ht="24" customHeight="1" x14ac:dyDescent="0.55000000000000004">
      <c r="A46" s="6"/>
    </row>
  </sheetData>
  <sheetProtection algorithmName="SHA-512" hashValue="Lz38rJwdl+S6oFUStO+aduZMyoM68+Ln9kY2gYtpx9uFkv7rO31cXQnKjb8secLehc+yG36FzA1Kc3NIdy6mOA==" saltValue="nESYKcaWEQoeaDlisTCAoA==" spinCount="100000" sheet="1" objects="1" scenarios="1" selectLockedCells="1"/>
  <mergeCells count="7">
    <mergeCell ref="A7:H7"/>
    <mergeCell ref="A8:B8"/>
    <mergeCell ref="A1:H1"/>
    <mergeCell ref="A4:B4"/>
    <mergeCell ref="A2:B2"/>
    <mergeCell ref="A5:H5"/>
    <mergeCell ref="A6:B6"/>
  </mergeCells>
  <conditionalFormatting sqref="C2:H2">
    <cfRule type="colorScale" priority="10">
      <colorScale>
        <cfvo type="min"/>
        <cfvo type="percentile" val="50"/>
        <cfvo type="max"/>
        <color rgb="FFF8696B"/>
        <color rgb="FFFCFCFF"/>
        <color rgb="FF33CC33"/>
      </colorScale>
    </cfRule>
  </conditionalFormatting>
  <conditionalFormatting sqref="C6:H6">
    <cfRule type="colorScale" priority="8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C8:H8">
    <cfRule type="colorScale" priority="7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C4 C6 C8">
    <cfRule type="cellIs" dxfId="36" priority="6" operator="equal">
      <formula>"มี"</formula>
    </cfRule>
  </conditionalFormatting>
  <conditionalFormatting sqref="D4 D6 D8">
    <cfRule type="cellIs" dxfId="35" priority="5" operator="equal">
      <formula>"มี"</formula>
    </cfRule>
  </conditionalFormatting>
  <conditionalFormatting sqref="E4 E6 E8">
    <cfRule type="cellIs" dxfId="34" priority="4" operator="equal">
      <formula>"มี"</formula>
    </cfRule>
  </conditionalFormatting>
  <conditionalFormatting sqref="F4 F6 F8">
    <cfRule type="cellIs" dxfId="33" priority="3" operator="equal">
      <formula>"มี"</formula>
    </cfRule>
  </conditionalFormatting>
  <conditionalFormatting sqref="G4 G6 G8">
    <cfRule type="cellIs" dxfId="32" priority="2" operator="equal">
      <formula>"มี"</formula>
    </cfRule>
  </conditionalFormatting>
  <conditionalFormatting sqref="H4 H6 H8">
    <cfRule type="cellIs" dxfId="31" priority="1" operator="equal">
      <formula>"มี"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DataSet!$G$19:$G$20</xm:f>
          </x14:formula1>
          <xm:sqref>C6:H6 C4:H4</xm:sqref>
        </x14:dataValidation>
        <x14:dataValidation type="list" allowBlank="1" showInputMessage="1" showErrorMessage="1">
          <x14:formula1>
            <xm:f>DataSet!$G$19:$G$20</xm:f>
          </x14:formula1>
          <xm:sqref>C8:H8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Q49"/>
  <sheetViews>
    <sheetView zoomScaleNormal="100" workbookViewId="0">
      <selection activeCell="C4" sqref="C4"/>
    </sheetView>
  </sheetViews>
  <sheetFormatPr defaultColWidth="8.25" defaultRowHeight="24" x14ac:dyDescent="0.55000000000000004"/>
  <cols>
    <col min="1" max="1" width="5.25" style="53" customWidth="1"/>
    <col min="2" max="2" width="19.5" style="54" customWidth="1"/>
    <col min="3" max="8" width="12.375" style="54" customWidth="1"/>
    <col min="9" max="9" width="9.5" style="52" customWidth="1"/>
    <col min="10" max="16" width="8.25" style="63"/>
    <col min="17" max="17" width="8.25" style="53"/>
    <col min="18" max="16384" width="8.25" style="54"/>
  </cols>
  <sheetData>
    <row r="1" spans="1:17" s="38" customFormat="1" ht="30.75" x14ac:dyDescent="0.7">
      <c r="A1" s="186" t="s">
        <v>54</v>
      </c>
      <c r="B1" s="186"/>
      <c r="C1" s="186"/>
      <c r="D1" s="186"/>
      <c r="E1" s="186"/>
      <c r="F1" s="186"/>
      <c r="G1" s="186"/>
      <c r="H1" s="186"/>
      <c r="I1" s="36"/>
      <c r="J1" s="58"/>
      <c r="K1" s="58"/>
      <c r="L1" s="58"/>
      <c r="M1" s="58"/>
      <c r="N1" s="58"/>
      <c r="O1" s="58"/>
      <c r="P1" s="58"/>
      <c r="Q1" s="37"/>
    </row>
    <row r="2" spans="1:17" s="38" customFormat="1" ht="30.75" x14ac:dyDescent="0.7">
      <c r="A2" s="188" t="s">
        <v>51</v>
      </c>
      <c r="B2" s="188"/>
      <c r="C2" s="37">
        <v>0</v>
      </c>
      <c r="D2" s="37">
        <v>1</v>
      </c>
      <c r="E2" s="37">
        <v>2</v>
      </c>
      <c r="F2" s="37">
        <v>3</v>
      </c>
      <c r="G2" s="37">
        <v>4</v>
      </c>
      <c r="H2" s="37">
        <v>5</v>
      </c>
      <c r="I2" s="36"/>
      <c r="J2" s="58"/>
      <c r="K2" s="58"/>
      <c r="L2" s="58"/>
      <c r="M2" s="58"/>
      <c r="N2" s="58"/>
      <c r="O2" s="58"/>
      <c r="P2" s="58"/>
      <c r="Q2" s="37"/>
    </row>
    <row r="3" spans="1:17" s="42" customFormat="1" ht="27.75" x14ac:dyDescent="0.65">
      <c r="A3" s="39" t="s">
        <v>55</v>
      </c>
      <c r="B3" s="39"/>
      <c r="C3" s="39"/>
      <c r="D3" s="39"/>
      <c r="E3" s="39"/>
      <c r="F3" s="39"/>
      <c r="G3" s="39"/>
      <c r="H3" s="39"/>
      <c r="I3" s="40"/>
      <c r="J3" s="106"/>
      <c r="K3" s="106"/>
      <c r="L3" s="106"/>
      <c r="M3" s="106"/>
      <c r="N3" s="106"/>
      <c r="O3" s="106"/>
      <c r="P3" s="106"/>
      <c r="Q3" s="41"/>
    </row>
    <row r="4" spans="1:17" s="45" customFormat="1" ht="27.75" x14ac:dyDescent="0.65">
      <c r="A4" s="182" t="s">
        <v>49</v>
      </c>
      <c r="B4" s="182"/>
      <c r="C4" s="34"/>
      <c r="D4" s="35"/>
      <c r="E4" s="35"/>
      <c r="F4" s="35"/>
      <c r="G4" s="35"/>
      <c r="H4" s="35"/>
      <c r="I4" s="59">
        <f>COUNTIF(D4:H4,DataSet!G19)</f>
        <v>0</v>
      </c>
      <c r="J4" s="60"/>
      <c r="K4" s="184" t="s">
        <v>70</v>
      </c>
      <c r="L4" s="184"/>
      <c r="M4" s="184"/>
      <c r="N4" s="185" t="s">
        <v>71</v>
      </c>
      <c r="O4" s="185"/>
      <c r="P4" s="185"/>
      <c r="Q4" s="44"/>
    </row>
    <row r="5" spans="1:17" s="45" customFormat="1" ht="27.75" x14ac:dyDescent="0.65">
      <c r="A5" s="181" t="s">
        <v>56</v>
      </c>
      <c r="B5" s="181"/>
      <c r="C5" s="181"/>
      <c r="D5" s="181"/>
      <c r="E5" s="181"/>
      <c r="F5" s="181"/>
      <c r="G5" s="181"/>
      <c r="H5" s="181"/>
      <c r="I5" s="110"/>
      <c r="J5" s="109"/>
      <c r="K5" s="109" t="s">
        <v>32</v>
      </c>
      <c r="L5" s="109" t="s">
        <v>68</v>
      </c>
      <c r="M5" s="109" t="s">
        <v>69</v>
      </c>
      <c r="N5" s="110" t="s">
        <v>32</v>
      </c>
      <c r="O5" s="110" t="s">
        <v>68</v>
      </c>
      <c r="P5" s="110" t="s">
        <v>69</v>
      </c>
      <c r="Q5" s="44"/>
    </row>
    <row r="6" spans="1:17" s="45" customFormat="1" ht="27.75" x14ac:dyDescent="0.65">
      <c r="A6" s="46"/>
      <c r="B6" s="183" t="s">
        <v>58</v>
      </c>
      <c r="C6" s="183"/>
      <c r="D6" s="183"/>
      <c r="E6" s="183"/>
      <c r="F6" s="187" t="s">
        <v>65</v>
      </c>
      <c r="G6" s="187"/>
      <c r="H6" s="34"/>
      <c r="I6" s="61" t="e">
        <f>IF(DataSet!B3=DataSet!C19,'องค์ 4'!N6,IF(DataSet!B3=DataSet!C20,'องค์ 4'!O6,'องค์ 4'!P6))</f>
        <v>#DIV/0!</v>
      </c>
      <c r="J6" s="62" t="e">
        <f>AVERAGE(I6:I8)</f>
        <v>#DIV/0!</v>
      </c>
      <c r="K6" s="64" t="e">
        <f>(H6*100)/DataSet!F23</f>
        <v>#DIV/0!</v>
      </c>
      <c r="L6" s="64" t="e">
        <f>(H6*100)/DataSet!F23</f>
        <v>#DIV/0!</v>
      </c>
      <c r="M6" s="64" t="e">
        <f>(H6*100)/DataSet!F23</f>
        <v>#DIV/0!</v>
      </c>
      <c r="N6" s="61" t="e">
        <f>IF(K6&gt;20,5,((K6*5)/20))</f>
        <v>#DIV/0!</v>
      </c>
      <c r="O6" s="61" t="e">
        <f>IF(K6&gt;60,5,((K6*5)/60))</f>
        <v>#DIV/0!</v>
      </c>
      <c r="P6" s="61" t="e">
        <f>IF(K6&gt;100,5,((K6*5)/100))</f>
        <v>#DIV/0!</v>
      </c>
      <c r="Q6" s="44"/>
    </row>
    <row r="7" spans="1:17" s="45" customFormat="1" ht="27.75" x14ac:dyDescent="0.65">
      <c r="A7" s="48"/>
      <c r="B7" s="183" t="s">
        <v>66</v>
      </c>
      <c r="C7" s="183"/>
      <c r="D7" s="183"/>
      <c r="E7" s="183"/>
      <c r="F7" s="187" t="s">
        <v>65</v>
      </c>
      <c r="G7" s="187"/>
      <c r="H7" s="55"/>
      <c r="I7" s="61" t="e">
        <f>IF(DataSet!B3=DataSet!C19,'องค์ 4'!N7,IF(DataSet!B3=DataSet!C20,'องค์ 4'!O7,'องค์ 4'!P7))</f>
        <v>#DIV/0!</v>
      </c>
      <c r="J7" s="99" t="e">
        <f>AVERAGE(I6:I9)</f>
        <v>#DIV/0!</v>
      </c>
      <c r="K7" s="64" t="e">
        <f>(H7*100)/DataSet!F23</f>
        <v>#DIV/0!</v>
      </c>
      <c r="L7" s="64" t="e">
        <f>(H7*100)/DataSet!F23</f>
        <v>#DIV/0!</v>
      </c>
      <c r="M7" s="64" t="e">
        <f>(H7*100)/DataSet!F23</f>
        <v>#DIV/0!</v>
      </c>
      <c r="N7" s="61" t="e">
        <f>IF(K7&gt;60,5,((K7*5)/60))</f>
        <v>#DIV/0!</v>
      </c>
      <c r="O7" s="61" t="e">
        <f>IF(L7&gt;80,5,((L7*5)/80))</f>
        <v>#DIV/0!</v>
      </c>
      <c r="P7" s="61" t="e">
        <f>IF(M7&gt;100,5,((M7*5)/100))</f>
        <v>#DIV/0!</v>
      </c>
      <c r="Q7" s="44"/>
    </row>
    <row r="8" spans="1:17" s="45" customFormat="1" ht="27.75" x14ac:dyDescent="0.65">
      <c r="A8" s="48"/>
      <c r="B8" s="183" t="s">
        <v>81</v>
      </c>
      <c r="C8" s="183"/>
      <c r="D8" s="183"/>
      <c r="E8" s="57" t="s">
        <v>80</v>
      </c>
      <c r="F8" s="34"/>
      <c r="G8" s="50" t="s">
        <v>79</v>
      </c>
      <c r="H8" s="55"/>
      <c r="I8" s="61" t="e">
        <f>IF(DataSet!B3=DataSet!C19,N8,IF(DataSet!B3=DataSet!C20,O8,P8))</f>
        <v>#DIV/0!</v>
      </c>
      <c r="J8" s="65" t="e">
        <f>(H8/DataSet!F23)*100</f>
        <v>#DIV/0!</v>
      </c>
      <c r="K8" s="109" t="e">
        <f>(J8*5)/20</f>
        <v>#DIV/0!</v>
      </c>
      <c r="L8" s="109" t="e">
        <f>(J8*5)/40</f>
        <v>#DIV/0!</v>
      </c>
      <c r="M8" s="109" t="e">
        <f>(J8*5)/60</f>
        <v>#DIV/0!</v>
      </c>
      <c r="N8" s="66" t="e">
        <f>IF(K8&gt;20,5,((K8*5)/20))</f>
        <v>#DIV/0!</v>
      </c>
      <c r="O8" s="61" t="e">
        <f>IF(L8&gt;40,5,((L8*5)/40))</f>
        <v>#DIV/0!</v>
      </c>
      <c r="P8" s="61" t="e">
        <f>IF(M8&gt;60,5,((M8*5)/60))</f>
        <v>#DIV/0!</v>
      </c>
      <c r="Q8" s="44"/>
    </row>
    <row r="9" spans="1:17" s="45" customFormat="1" ht="27.75" x14ac:dyDescent="0.65">
      <c r="A9" s="48"/>
      <c r="B9" s="183" t="str">
        <f>IF(DataSet!B3=DataSet!C21,"4.2 (4) จำนวนบทความอาจารย์ประจำหลักสูตร ป.เอก"," ")</f>
        <v xml:space="preserve"> </v>
      </c>
      <c r="C9" s="183"/>
      <c r="D9" s="183"/>
      <c r="E9" s="57" t="str">
        <f>IF(DataSet!B3=DataSet!C21,"จำนวนบทความ"," ")</f>
        <v xml:space="preserve"> </v>
      </c>
      <c r="F9" s="55"/>
      <c r="G9" s="56"/>
      <c r="H9" s="47"/>
      <c r="I9" s="61" t="str">
        <f>IF(DataSet!J4=DataSet!M29,'องค์ 4'!N10,IF(DataSet!J4=DataSet!M28,'องค์ 4'!O10,'องค์ 4'!P10))</f>
        <v xml:space="preserve"> </v>
      </c>
      <c r="J9" s="60"/>
      <c r="K9" s="60" t="s">
        <v>76</v>
      </c>
      <c r="L9" s="60" t="s">
        <v>77</v>
      </c>
      <c r="M9" s="60" t="s">
        <v>78</v>
      </c>
      <c r="N9" s="67" t="s">
        <v>76</v>
      </c>
      <c r="O9" s="67" t="s">
        <v>77</v>
      </c>
      <c r="P9" s="67" t="s">
        <v>78</v>
      </c>
      <c r="Q9" s="44"/>
    </row>
    <row r="10" spans="1:17" s="45" customFormat="1" ht="27.75" x14ac:dyDescent="0.65">
      <c r="A10" s="181" t="s">
        <v>57</v>
      </c>
      <c r="B10" s="181"/>
      <c r="C10" s="181"/>
      <c r="D10" s="181"/>
      <c r="E10" s="181"/>
      <c r="F10" s="181"/>
      <c r="G10" s="181"/>
      <c r="H10" s="181"/>
      <c r="I10" s="110"/>
      <c r="J10" s="60" t="e">
        <f>F9/DataSet!F23</f>
        <v>#DIV/0!</v>
      </c>
      <c r="K10" s="109" t="e">
        <f>(J10*5)/0.25</f>
        <v>#DIV/0!</v>
      </c>
      <c r="L10" s="109" t="e">
        <f>(J10*5)/3</f>
        <v>#DIV/0!</v>
      </c>
      <c r="M10" s="65" t="e">
        <f>(J10*5)/2.5</f>
        <v>#DIV/0!</v>
      </c>
      <c r="N10" s="68" t="str">
        <f>IF(DataSet!B3=DataSet!C21,'องค์ 4'!K10," ")</f>
        <v xml:space="preserve"> </v>
      </c>
      <c r="O10" s="110" t="str">
        <f>IF(DataSet!B3=DataSet!C21,'องค์ 4'!L10," ")</f>
        <v xml:space="preserve"> </v>
      </c>
      <c r="P10" s="110" t="str">
        <f>IF(DataSet!B3=DataSet!C21,'องค์ 4'!M10," ")</f>
        <v xml:space="preserve"> </v>
      </c>
      <c r="Q10" s="44"/>
    </row>
    <row r="11" spans="1:17" s="45" customFormat="1" ht="27.75" x14ac:dyDescent="0.65">
      <c r="A11" s="182" t="s">
        <v>49</v>
      </c>
      <c r="B11" s="182"/>
      <c r="C11" s="34"/>
      <c r="D11" s="35"/>
      <c r="E11" s="35"/>
      <c r="F11" s="35"/>
      <c r="G11" s="35"/>
      <c r="H11" s="35"/>
      <c r="I11" s="59">
        <f>COUNTIF(D11:H11,DataSet!G19)</f>
        <v>0</v>
      </c>
      <c r="J11" s="60"/>
      <c r="K11" s="109"/>
      <c r="L11" s="109"/>
      <c r="M11" s="109"/>
      <c r="N11" s="109"/>
      <c r="O11" s="109"/>
      <c r="P11" s="109"/>
      <c r="Q11" s="44"/>
    </row>
    <row r="12" spans="1:17" s="45" customFormat="1" ht="27.75" x14ac:dyDescent="0.65">
      <c r="A12" s="48"/>
      <c r="B12" s="49"/>
      <c r="C12" s="49"/>
      <c r="D12" s="49"/>
      <c r="E12" s="49"/>
      <c r="F12" s="49"/>
      <c r="G12" s="49"/>
      <c r="H12" s="49"/>
      <c r="I12" s="110"/>
      <c r="J12" s="109"/>
      <c r="K12" s="109"/>
      <c r="L12" s="109"/>
      <c r="M12" s="109"/>
      <c r="N12" s="109"/>
      <c r="O12" s="109"/>
      <c r="P12" s="109"/>
      <c r="Q12" s="44"/>
    </row>
    <row r="13" spans="1:17" s="45" customFormat="1" ht="27.75" x14ac:dyDescent="0.65">
      <c r="A13" s="48"/>
      <c r="B13" s="49"/>
      <c r="C13" s="49"/>
      <c r="D13" s="49"/>
      <c r="E13" s="49"/>
      <c r="F13" s="49"/>
      <c r="G13" s="49"/>
      <c r="H13" s="49"/>
      <c r="I13" s="110"/>
      <c r="J13" s="109"/>
      <c r="K13" s="109"/>
      <c r="L13" s="109"/>
      <c r="M13" s="109"/>
      <c r="N13" s="109"/>
      <c r="O13" s="109"/>
      <c r="P13" s="109"/>
      <c r="Q13" s="44"/>
    </row>
    <row r="14" spans="1:17" s="45" customFormat="1" ht="27.75" x14ac:dyDescent="0.65">
      <c r="A14" s="48"/>
      <c r="B14" s="49"/>
      <c r="C14" s="49"/>
      <c r="D14" s="49"/>
      <c r="E14" s="49"/>
      <c r="F14" s="49"/>
      <c r="G14" s="49"/>
      <c r="H14" s="49"/>
      <c r="I14" s="110"/>
      <c r="J14" s="109"/>
      <c r="K14" s="109"/>
      <c r="L14" s="109"/>
      <c r="M14" s="109"/>
      <c r="N14" s="109"/>
      <c r="O14" s="109"/>
      <c r="P14" s="109"/>
      <c r="Q14" s="44"/>
    </row>
    <row r="15" spans="1:17" s="45" customFormat="1" ht="27.75" x14ac:dyDescent="0.65">
      <c r="A15" s="48"/>
      <c r="B15" s="49"/>
      <c r="C15" s="49"/>
      <c r="D15" s="49"/>
      <c r="E15" s="49"/>
      <c r="F15" s="49"/>
      <c r="G15" s="49"/>
      <c r="H15" s="49"/>
      <c r="I15" s="110"/>
      <c r="J15" s="109"/>
      <c r="K15" s="109"/>
      <c r="L15" s="109"/>
      <c r="M15" s="109"/>
      <c r="N15" s="109"/>
      <c r="O15" s="109"/>
      <c r="P15" s="109"/>
      <c r="Q15" s="44"/>
    </row>
    <row r="16" spans="1:17" s="45" customFormat="1" ht="27.75" x14ac:dyDescent="0.65">
      <c r="A16" s="48"/>
      <c r="B16" s="49"/>
      <c r="C16" s="49"/>
      <c r="D16" s="49"/>
      <c r="E16" s="49"/>
      <c r="F16" s="49"/>
      <c r="G16" s="49"/>
      <c r="H16" s="49"/>
      <c r="I16" s="110"/>
      <c r="J16" s="109"/>
      <c r="K16" s="109"/>
      <c r="L16" s="109"/>
      <c r="M16" s="109"/>
      <c r="N16" s="109"/>
      <c r="O16" s="109"/>
      <c r="P16" s="109"/>
      <c r="Q16" s="44"/>
    </row>
    <row r="17" spans="1:17" s="45" customFormat="1" ht="23.25" customHeight="1" x14ac:dyDescent="0.65">
      <c r="A17" s="48"/>
      <c r="B17" s="49"/>
      <c r="C17" s="49"/>
      <c r="D17" s="49"/>
      <c r="E17" s="49"/>
      <c r="F17" s="49"/>
      <c r="G17" s="49"/>
      <c r="H17" s="49"/>
      <c r="I17" s="110"/>
      <c r="J17" s="109"/>
      <c r="K17" s="109"/>
      <c r="L17" s="109"/>
      <c r="M17" s="109"/>
      <c r="N17" s="109"/>
      <c r="O17" s="109"/>
      <c r="P17" s="109"/>
      <c r="Q17" s="44"/>
    </row>
    <row r="18" spans="1:17" ht="24" customHeight="1" x14ac:dyDescent="0.55000000000000004">
      <c r="A18" s="50"/>
      <c r="B18" s="51"/>
      <c r="C18" s="51"/>
      <c r="D18" s="51"/>
      <c r="E18" s="51"/>
      <c r="F18" s="51"/>
      <c r="G18" s="51"/>
      <c r="H18" s="51"/>
    </row>
    <row r="19" spans="1:17" ht="24" customHeight="1" x14ac:dyDescent="0.55000000000000004"/>
    <row r="20" spans="1:17" ht="24" customHeight="1" x14ac:dyDescent="0.55000000000000004">
      <c r="A20" s="54"/>
    </row>
    <row r="21" spans="1:17" ht="24" customHeight="1" x14ac:dyDescent="0.55000000000000004">
      <c r="A21" s="54"/>
    </row>
    <row r="22" spans="1:17" ht="24" customHeight="1" x14ac:dyDescent="0.55000000000000004">
      <c r="A22" s="54"/>
    </row>
    <row r="23" spans="1:17" ht="24" customHeight="1" x14ac:dyDescent="0.55000000000000004">
      <c r="A23" s="54"/>
    </row>
    <row r="24" spans="1:17" ht="24" customHeight="1" x14ac:dyDescent="0.55000000000000004">
      <c r="A24" s="54"/>
    </row>
    <row r="25" spans="1:17" ht="24" customHeight="1" x14ac:dyDescent="0.55000000000000004">
      <c r="A25" s="54"/>
    </row>
    <row r="26" spans="1:17" ht="24" customHeight="1" x14ac:dyDescent="0.55000000000000004">
      <c r="A26" s="54"/>
    </row>
    <row r="27" spans="1:17" ht="24" customHeight="1" x14ac:dyDescent="0.55000000000000004">
      <c r="A27" s="54"/>
    </row>
    <row r="28" spans="1:17" ht="24" customHeight="1" x14ac:dyDescent="0.55000000000000004">
      <c r="A28" s="54"/>
    </row>
    <row r="29" spans="1:17" ht="24" customHeight="1" x14ac:dyDescent="0.55000000000000004">
      <c r="A29" s="54"/>
    </row>
    <row r="30" spans="1:17" ht="24" customHeight="1" x14ac:dyDescent="0.55000000000000004">
      <c r="A30" s="54"/>
    </row>
    <row r="31" spans="1:17" ht="24" customHeight="1" x14ac:dyDescent="0.55000000000000004">
      <c r="A31" s="54"/>
    </row>
    <row r="32" spans="1:17" ht="24" customHeight="1" x14ac:dyDescent="0.55000000000000004">
      <c r="A32" s="54"/>
    </row>
    <row r="33" spans="1:1" ht="24" customHeight="1" x14ac:dyDescent="0.55000000000000004">
      <c r="A33" s="54"/>
    </row>
    <row r="34" spans="1:1" ht="24" customHeight="1" x14ac:dyDescent="0.55000000000000004">
      <c r="A34" s="54"/>
    </row>
    <row r="35" spans="1:1" ht="24" customHeight="1" x14ac:dyDescent="0.55000000000000004">
      <c r="A35" s="54"/>
    </row>
    <row r="36" spans="1:1" ht="24" customHeight="1" x14ac:dyDescent="0.55000000000000004">
      <c r="A36" s="54"/>
    </row>
    <row r="37" spans="1:1" ht="24" customHeight="1" x14ac:dyDescent="0.55000000000000004">
      <c r="A37" s="54"/>
    </row>
    <row r="38" spans="1:1" ht="24" customHeight="1" x14ac:dyDescent="0.55000000000000004">
      <c r="A38" s="54"/>
    </row>
    <row r="39" spans="1:1" ht="24" customHeight="1" x14ac:dyDescent="0.55000000000000004">
      <c r="A39" s="54"/>
    </row>
    <row r="40" spans="1:1" ht="24" customHeight="1" x14ac:dyDescent="0.55000000000000004">
      <c r="A40" s="54"/>
    </row>
    <row r="43" spans="1:1" ht="24" customHeight="1" x14ac:dyDescent="0.55000000000000004">
      <c r="A43" s="54"/>
    </row>
    <row r="44" spans="1:1" ht="24" customHeight="1" x14ac:dyDescent="0.55000000000000004">
      <c r="A44" s="54"/>
    </row>
    <row r="45" spans="1:1" ht="24" customHeight="1" x14ac:dyDescent="0.55000000000000004">
      <c r="A45" s="54"/>
    </row>
    <row r="46" spans="1:1" ht="24" customHeight="1" x14ac:dyDescent="0.55000000000000004">
      <c r="A46" s="54"/>
    </row>
    <row r="48" spans="1:1" ht="24" customHeight="1" x14ac:dyDescent="0.55000000000000004">
      <c r="A48" s="54"/>
    </row>
    <row r="49" spans="1:1" ht="24" customHeight="1" x14ac:dyDescent="0.55000000000000004">
      <c r="A49" s="54"/>
    </row>
  </sheetData>
  <sheetProtection algorithmName="SHA-512" hashValue="Lpvt82uFzq1dkyH92pwt1FN/0lNPxQKyCF4AUmFk2hbGLDMyS7hzrL/wWmPu9OTKEGK6YMnWsYPZxlknvqmNBQ==" saltValue="7ZXjY5Fk0+KnbHX61aiuzw==" spinCount="100000" sheet="1" objects="1" scenarios="1" selectLockedCells="1"/>
  <mergeCells count="14">
    <mergeCell ref="A1:H1"/>
    <mergeCell ref="B6:E6"/>
    <mergeCell ref="B7:E7"/>
    <mergeCell ref="F6:G6"/>
    <mergeCell ref="F7:G7"/>
    <mergeCell ref="A2:B2"/>
    <mergeCell ref="A4:B4"/>
    <mergeCell ref="A5:H5"/>
    <mergeCell ref="A10:H10"/>
    <mergeCell ref="A11:B11"/>
    <mergeCell ref="B9:D9"/>
    <mergeCell ref="K4:M4"/>
    <mergeCell ref="N4:P4"/>
    <mergeCell ref="B8:D8"/>
  </mergeCells>
  <conditionalFormatting sqref="C2:H2">
    <cfRule type="colorScale" priority="10">
      <colorScale>
        <cfvo type="min"/>
        <cfvo type="percentile" val="50"/>
        <cfvo type="max"/>
        <color rgb="FFF8696B"/>
        <color rgb="FFFCFCFF"/>
        <color rgb="FF33CC33"/>
      </colorScale>
    </cfRule>
  </conditionalFormatting>
  <conditionalFormatting sqref="C11:H11">
    <cfRule type="colorScale" priority="7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C4 F6:F9 H6:H9 C11:H11">
    <cfRule type="cellIs" dxfId="30" priority="6" operator="equal">
      <formula>"มี"</formula>
    </cfRule>
  </conditionalFormatting>
  <conditionalFormatting sqref="D4:H4 D11:H11">
    <cfRule type="cellIs" dxfId="29" priority="5" operator="equal">
      <formula>"มี"</formula>
    </cfRule>
  </conditionalFormatting>
  <conditionalFormatting sqref="E11 E4:H4">
    <cfRule type="cellIs" dxfId="28" priority="4" operator="equal">
      <formula>"มี"</formula>
    </cfRule>
  </conditionalFormatting>
  <conditionalFormatting sqref="F4 F11 F6:F9">
    <cfRule type="cellIs" dxfId="27" priority="3" operator="equal">
      <formula>"มี"</formula>
    </cfRule>
  </conditionalFormatting>
  <conditionalFormatting sqref="G4 G11 H6:H7">
    <cfRule type="cellIs" dxfId="26" priority="2" operator="equal">
      <formula>"มี"</formula>
    </cfRule>
  </conditionalFormatting>
  <conditionalFormatting sqref="H4 H8:H9 H11">
    <cfRule type="cellIs" dxfId="25" priority="1" operator="equal">
      <formula>"มี"</formula>
    </cfRule>
  </conditionalFormatting>
  <dataValidations count="4">
    <dataValidation allowBlank="1" showInputMessage="1" showErrorMessage="1" prompt="จำนวนบทความที่ได้รับการอ้างอิง" sqref="F9"/>
    <dataValidation allowBlank="1" showInputMessage="1" showErrorMessage="1" prompt="จำนวนผลงานวิชาการทั้งหมด (รวมงานสร้างสรรค์)" sqref="F8"/>
    <dataValidation allowBlank="1" showInputMessage="1" showErrorMessage="1" prompt="นับเฉพาะอาจารย์ผู้รับผิดชอบหลักสูตร" sqref="H6:H7"/>
    <dataValidation allowBlank="1" showInputMessage="1" showErrorMessage="1" prompt="นับเฉพาะผลงานของอาจารย์ผู้รับผิดชอบหลักสูตร" sqref="H8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DataSet!$G$19:$G$20</xm:f>
          </x14:formula1>
          <xm:sqref>C11:H11 C4:H4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N46"/>
  <sheetViews>
    <sheetView zoomScaleNormal="100" workbookViewId="0">
      <selection activeCell="C4" sqref="C4"/>
    </sheetView>
  </sheetViews>
  <sheetFormatPr defaultColWidth="8.25" defaultRowHeight="24" x14ac:dyDescent="0.55000000000000004"/>
  <cols>
    <col min="1" max="1" width="5.25" style="53" customWidth="1"/>
    <col min="2" max="2" width="21.75" style="54" customWidth="1"/>
    <col min="3" max="7" width="13.25" style="54" customWidth="1"/>
    <col min="8" max="8" width="13.25" style="137" customWidth="1"/>
    <col min="9" max="9" width="18.375" style="52" bestFit="1" customWidth="1"/>
    <col min="10" max="10" width="2.75" style="63" customWidth="1"/>
    <col min="11" max="11" width="6.25" style="63" customWidth="1"/>
    <col min="12" max="12" width="6.5" style="63" bestFit="1" customWidth="1"/>
    <col min="13" max="14" width="8.25" style="63"/>
    <col min="15" max="16384" width="8.25" style="54"/>
  </cols>
  <sheetData>
    <row r="1" spans="1:14" s="38" customFormat="1" ht="30.75" x14ac:dyDescent="0.7">
      <c r="A1" s="189" t="s">
        <v>82</v>
      </c>
      <c r="B1" s="189"/>
      <c r="C1" s="189"/>
      <c r="D1" s="189"/>
      <c r="E1" s="189"/>
      <c r="F1" s="189"/>
      <c r="G1" s="189"/>
      <c r="H1" s="189"/>
      <c r="I1" s="36"/>
      <c r="J1" s="58"/>
      <c r="K1" s="58"/>
      <c r="L1" s="58"/>
      <c r="M1" s="58"/>
      <c r="N1" s="58"/>
    </row>
    <row r="2" spans="1:14" s="38" customFormat="1" ht="30.75" x14ac:dyDescent="0.7">
      <c r="A2" s="188" t="s">
        <v>51</v>
      </c>
      <c r="B2" s="188"/>
      <c r="C2" s="37">
        <v>0</v>
      </c>
      <c r="D2" s="37">
        <v>1</v>
      </c>
      <c r="E2" s="37">
        <v>2</v>
      </c>
      <c r="F2" s="37">
        <v>3</v>
      </c>
      <c r="G2" s="37">
        <v>4</v>
      </c>
      <c r="H2" s="134">
        <v>5</v>
      </c>
      <c r="I2" s="36"/>
      <c r="J2" s="58"/>
      <c r="K2" s="58"/>
      <c r="L2" s="58"/>
      <c r="M2" s="58"/>
      <c r="N2" s="58"/>
    </row>
    <row r="3" spans="1:14" s="42" customFormat="1" ht="27.75" x14ac:dyDescent="0.65">
      <c r="A3" s="39" t="s">
        <v>83</v>
      </c>
      <c r="B3" s="39"/>
      <c r="C3" s="39"/>
      <c r="D3" s="39"/>
      <c r="E3" s="39"/>
      <c r="F3" s="39"/>
      <c r="G3" s="39"/>
      <c r="H3" s="107"/>
      <c r="I3" s="40"/>
      <c r="J3" s="106"/>
      <c r="K3" s="106"/>
      <c r="L3" s="106"/>
      <c r="M3" s="106"/>
      <c r="N3" s="106"/>
    </row>
    <row r="4" spans="1:14" s="45" customFormat="1" ht="27.75" x14ac:dyDescent="0.65">
      <c r="A4" s="182" t="s">
        <v>49</v>
      </c>
      <c r="B4" s="182"/>
      <c r="C4" s="69"/>
      <c r="D4" s="34"/>
      <c r="E4" s="35"/>
      <c r="F4" s="35"/>
      <c r="G4" s="35"/>
      <c r="H4" s="135"/>
      <c r="I4" s="61">
        <f>COUNTIF(D4:H4,DataSet!G19)</f>
        <v>0</v>
      </c>
      <c r="J4" s="109"/>
      <c r="K4" s="109"/>
      <c r="L4" s="109"/>
      <c r="M4" s="109"/>
      <c r="N4" s="109"/>
    </row>
    <row r="5" spans="1:14" s="45" customFormat="1" ht="27.75" x14ac:dyDescent="0.65">
      <c r="A5" s="181" t="s">
        <v>84</v>
      </c>
      <c r="B5" s="181"/>
      <c r="C5" s="181"/>
      <c r="D5" s="181"/>
      <c r="E5" s="181"/>
      <c r="F5" s="181"/>
      <c r="G5" s="181"/>
      <c r="H5" s="181"/>
      <c r="I5" s="61"/>
      <c r="J5" s="109"/>
      <c r="K5" s="109"/>
      <c r="L5" s="109"/>
      <c r="M5" s="109"/>
      <c r="N5" s="109"/>
    </row>
    <row r="6" spans="1:14" s="45" customFormat="1" ht="27.75" x14ac:dyDescent="0.65">
      <c r="A6" s="182" t="s">
        <v>49</v>
      </c>
      <c r="B6" s="182"/>
      <c r="C6" s="69"/>
      <c r="D6" s="98"/>
      <c r="E6" s="98"/>
      <c r="F6" s="98"/>
      <c r="G6" s="98"/>
      <c r="H6" s="126"/>
      <c r="I6" s="61">
        <f>COUNTIF(D6:H6,DataSet!G19)</f>
        <v>0</v>
      </c>
      <c r="J6" s="109"/>
      <c r="K6" s="109"/>
      <c r="L6" s="109"/>
      <c r="M6" s="109"/>
      <c r="N6" s="109"/>
    </row>
    <row r="7" spans="1:14" s="45" customFormat="1" ht="27.75" x14ac:dyDescent="0.65">
      <c r="A7" s="181" t="s">
        <v>85</v>
      </c>
      <c r="B7" s="181"/>
      <c r="C7" s="181"/>
      <c r="D7" s="181"/>
      <c r="E7" s="181"/>
      <c r="F7" s="181"/>
      <c r="G7" s="181"/>
      <c r="H7" s="181"/>
      <c r="I7" s="61"/>
      <c r="J7" s="109"/>
      <c r="K7" s="109"/>
      <c r="L7" s="109"/>
      <c r="M7" s="109"/>
      <c r="N7" s="109"/>
    </row>
    <row r="8" spans="1:14" s="45" customFormat="1" ht="27.75" x14ac:dyDescent="0.65">
      <c r="A8" s="182" t="s">
        <v>49</v>
      </c>
      <c r="B8" s="182"/>
      <c r="C8" s="69"/>
      <c r="D8" s="98"/>
      <c r="E8" s="98"/>
      <c r="F8" s="98"/>
      <c r="G8" s="35"/>
      <c r="H8" s="135"/>
      <c r="I8" s="61">
        <f>COUNTIF(D8:H8,DataSet!G19)</f>
        <v>0</v>
      </c>
      <c r="J8" s="109"/>
      <c r="K8" s="109"/>
      <c r="L8" s="109"/>
      <c r="M8" s="109"/>
      <c r="N8" s="109"/>
    </row>
    <row r="9" spans="1:14" s="45" customFormat="1" ht="27.75" x14ac:dyDescent="0.65">
      <c r="A9" s="181" t="s">
        <v>86</v>
      </c>
      <c r="B9" s="181"/>
      <c r="C9" s="181"/>
      <c r="D9" s="181"/>
      <c r="E9" s="181"/>
      <c r="F9" s="181"/>
      <c r="G9" s="181"/>
      <c r="H9" s="181"/>
      <c r="I9" s="110"/>
      <c r="J9" s="109"/>
      <c r="K9" s="109"/>
      <c r="L9" s="109"/>
      <c r="M9" s="109"/>
      <c r="N9" s="109"/>
    </row>
    <row r="10" spans="1:14" s="45" customFormat="1" ht="27.75" x14ac:dyDescent="0.65">
      <c r="A10" s="46"/>
      <c r="B10" s="46" t="s">
        <v>144</v>
      </c>
      <c r="C10" s="47"/>
      <c r="D10" s="47"/>
      <c r="E10" s="47"/>
      <c r="F10" s="95" t="s">
        <v>145</v>
      </c>
      <c r="G10" s="34"/>
      <c r="H10" s="108"/>
      <c r="I10" s="96" t="s">
        <v>163</v>
      </c>
      <c r="J10" s="109"/>
      <c r="K10" s="109">
        <f>COUNTIF(G12:G26,"มี")</f>
        <v>0</v>
      </c>
      <c r="L10" s="109" t="s">
        <v>147</v>
      </c>
      <c r="M10" s="109"/>
      <c r="N10" s="109"/>
    </row>
    <row r="11" spans="1:14" s="45" customFormat="1" ht="27.75" x14ac:dyDescent="0.65">
      <c r="A11" s="48"/>
      <c r="B11" s="49" t="s">
        <v>148</v>
      </c>
      <c r="C11" s="49"/>
      <c r="D11" s="49"/>
      <c r="E11" s="49"/>
      <c r="F11" s="95" t="s">
        <v>65</v>
      </c>
      <c r="G11" s="55"/>
      <c r="H11" s="46" t="s">
        <v>147</v>
      </c>
      <c r="I11" s="96" t="s">
        <v>165</v>
      </c>
      <c r="J11" s="97"/>
      <c r="K11" s="109" t="e">
        <f>(K10*100)/G11</f>
        <v>#DIV/0!</v>
      </c>
      <c r="L11" s="109"/>
      <c r="M11" s="109"/>
      <c r="N11" s="109"/>
    </row>
    <row r="12" spans="1:14" s="45" customFormat="1" ht="27.75" x14ac:dyDescent="0.65">
      <c r="A12" s="48"/>
      <c r="B12" s="49" t="s">
        <v>146</v>
      </c>
      <c r="C12" s="190" t="s">
        <v>149</v>
      </c>
      <c r="D12" s="190"/>
      <c r="E12" s="190"/>
      <c r="F12" s="190"/>
      <c r="G12" s="55"/>
      <c r="H12" s="46"/>
      <c r="I12" s="96" t="s">
        <v>19</v>
      </c>
      <c r="J12" s="109"/>
      <c r="K12" s="59" t="e">
        <f>IF(K11&gt;99.99,5,IF(K11&gt;94.99,4.75,IF(K11&gt;89.99,4.5,IF(K11&gt;80,4,IF(K11=80,3.5,0)))))</f>
        <v>#DIV/0!</v>
      </c>
      <c r="L12" s="109"/>
      <c r="M12" s="109"/>
      <c r="N12" s="109"/>
    </row>
    <row r="13" spans="1:14" s="45" customFormat="1" ht="27.75" x14ac:dyDescent="0.65">
      <c r="A13" s="48"/>
      <c r="B13" s="49"/>
      <c r="C13" s="190" t="s">
        <v>152</v>
      </c>
      <c r="D13" s="190"/>
      <c r="E13" s="190"/>
      <c r="F13" s="190"/>
      <c r="G13" s="55"/>
      <c r="H13" s="46"/>
      <c r="I13" s="110"/>
      <c r="J13" s="109"/>
      <c r="K13" s="109"/>
      <c r="L13" s="109"/>
      <c r="M13" s="109"/>
      <c r="N13" s="109"/>
    </row>
    <row r="14" spans="1:14" s="45" customFormat="1" ht="23.25" customHeight="1" x14ac:dyDescent="0.65">
      <c r="A14" s="48"/>
      <c r="B14" s="49"/>
      <c r="C14" s="190" t="s">
        <v>151</v>
      </c>
      <c r="D14" s="190"/>
      <c r="E14" s="190"/>
      <c r="F14" s="190"/>
      <c r="G14" s="55"/>
      <c r="H14" s="46"/>
      <c r="I14" s="110"/>
      <c r="J14" s="109"/>
      <c r="K14" s="109"/>
      <c r="L14" s="109"/>
      <c r="M14" s="109"/>
      <c r="N14" s="109"/>
    </row>
    <row r="15" spans="1:14" ht="24" customHeight="1" x14ac:dyDescent="0.65">
      <c r="A15" s="50"/>
      <c r="B15" s="51"/>
      <c r="C15" s="192" t="s">
        <v>150</v>
      </c>
      <c r="D15" s="192"/>
      <c r="E15" s="192"/>
      <c r="F15" s="192"/>
      <c r="G15" s="55"/>
      <c r="H15" s="136"/>
    </row>
    <row r="16" spans="1:14" ht="24" customHeight="1" x14ac:dyDescent="0.65">
      <c r="C16" s="191" t="s">
        <v>153</v>
      </c>
      <c r="D16" s="191"/>
      <c r="E16" s="191"/>
      <c r="F16" s="191"/>
      <c r="G16" s="55"/>
    </row>
    <row r="17" spans="1:7" ht="24" customHeight="1" x14ac:dyDescent="0.65">
      <c r="A17" s="54"/>
      <c r="C17" s="191" t="s">
        <v>154</v>
      </c>
      <c r="D17" s="191"/>
      <c r="E17" s="191"/>
      <c r="F17" s="191"/>
      <c r="G17" s="55"/>
    </row>
    <row r="18" spans="1:7" ht="24" customHeight="1" x14ac:dyDescent="0.65">
      <c r="A18" s="54"/>
      <c r="C18" s="191" t="s">
        <v>155</v>
      </c>
      <c r="D18" s="191"/>
      <c r="E18" s="191"/>
      <c r="F18" s="191"/>
      <c r="G18" s="55"/>
    </row>
    <row r="19" spans="1:7" ht="24" customHeight="1" x14ac:dyDescent="0.65">
      <c r="A19" s="54"/>
      <c r="C19" s="191" t="s">
        <v>156</v>
      </c>
      <c r="D19" s="191"/>
      <c r="E19" s="191"/>
      <c r="F19" s="191"/>
      <c r="G19" s="55"/>
    </row>
    <row r="20" spans="1:7" ht="24" customHeight="1" x14ac:dyDescent="0.65">
      <c r="A20" s="54"/>
      <c r="C20" s="191" t="s">
        <v>157</v>
      </c>
      <c r="D20" s="191"/>
      <c r="E20" s="191"/>
      <c r="F20" s="191"/>
      <c r="G20" s="55"/>
    </row>
    <row r="21" spans="1:7" ht="24" customHeight="1" x14ac:dyDescent="0.65">
      <c r="A21" s="54"/>
      <c r="C21" s="191" t="s">
        <v>158</v>
      </c>
      <c r="D21" s="191"/>
      <c r="E21" s="191"/>
      <c r="F21" s="191"/>
      <c r="G21" s="55"/>
    </row>
    <row r="22" spans="1:7" ht="24" customHeight="1" x14ac:dyDescent="0.65">
      <c r="A22" s="54"/>
      <c r="C22" s="191" t="s">
        <v>159</v>
      </c>
      <c r="D22" s="191"/>
      <c r="E22" s="191"/>
      <c r="F22" s="191"/>
      <c r="G22" s="55"/>
    </row>
    <row r="23" spans="1:7" ht="24" customHeight="1" x14ac:dyDescent="0.65">
      <c r="A23" s="54"/>
      <c r="C23" s="191" t="s">
        <v>164</v>
      </c>
      <c r="D23" s="191"/>
      <c r="E23" s="191"/>
      <c r="F23" s="191"/>
      <c r="G23" s="55"/>
    </row>
    <row r="24" spans="1:7" ht="24" customHeight="1" x14ac:dyDescent="0.65">
      <c r="A24" s="54"/>
      <c r="C24" s="191" t="s">
        <v>160</v>
      </c>
      <c r="D24" s="191"/>
      <c r="E24" s="191"/>
      <c r="F24" s="191"/>
      <c r="G24" s="55"/>
    </row>
    <row r="25" spans="1:7" ht="24" customHeight="1" x14ac:dyDescent="0.65">
      <c r="A25" s="54"/>
      <c r="C25" s="191" t="s">
        <v>161</v>
      </c>
      <c r="D25" s="191"/>
      <c r="E25" s="191"/>
      <c r="F25" s="191"/>
      <c r="G25" s="55"/>
    </row>
    <row r="26" spans="1:7" ht="24" customHeight="1" x14ac:dyDescent="0.65">
      <c r="A26" s="54"/>
      <c r="C26" s="191" t="s">
        <v>162</v>
      </c>
      <c r="D26" s="191"/>
      <c r="E26" s="191"/>
      <c r="F26" s="191"/>
      <c r="G26" s="55"/>
    </row>
    <row r="27" spans="1:7" ht="24" customHeight="1" x14ac:dyDescent="0.55000000000000004">
      <c r="A27" s="54"/>
    </row>
    <row r="28" spans="1:7" ht="24" customHeight="1" x14ac:dyDescent="0.55000000000000004">
      <c r="A28" s="54"/>
    </row>
    <row r="29" spans="1:7" ht="24" customHeight="1" x14ac:dyDescent="0.55000000000000004">
      <c r="A29" s="54"/>
    </row>
    <row r="30" spans="1:7" ht="24" customHeight="1" x14ac:dyDescent="0.55000000000000004">
      <c r="A30" s="54"/>
    </row>
    <row r="31" spans="1:7" ht="24" customHeight="1" x14ac:dyDescent="0.55000000000000004">
      <c r="A31" s="54"/>
    </row>
    <row r="32" spans="1:7" ht="24" customHeight="1" x14ac:dyDescent="0.55000000000000004">
      <c r="A32" s="54"/>
    </row>
    <row r="33" spans="1:1" ht="24" customHeight="1" x14ac:dyDescent="0.55000000000000004">
      <c r="A33" s="54"/>
    </row>
    <row r="34" spans="1:1" ht="24" customHeight="1" x14ac:dyDescent="0.55000000000000004">
      <c r="A34" s="54"/>
    </row>
    <row r="35" spans="1:1" ht="24" customHeight="1" x14ac:dyDescent="0.55000000000000004">
      <c r="A35" s="54"/>
    </row>
    <row r="36" spans="1:1" ht="24" customHeight="1" x14ac:dyDescent="0.55000000000000004">
      <c r="A36" s="54"/>
    </row>
    <row r="37" spans="1:1" ht="24" customHeight="1" x14ac:dyDescent="0.55000000000000004">
      <c r="A37" s="54"/>
    </row>
    <row r="40" spans="1:1" ht="24" customHeight="1" x14ac:dyDescent="0.55000000000000004">
      <c r="A40" s="54"/>
    </row>
    <row r="41" spans="1:1" ht="24" customHeight="1" x14ac:dyDescent="0.55000000000000004">
      <c r="A41" s="54"/>
    </row>
    <row r="42" spans="1:1" ht="24" customHeight="1" x14ac:dyDescent="0.55000000000000004">
      <c r="A42" s="54"/>
    </row>
    <row r="43" spans="1:1" ht="24" customHeight="1" x14ac:dyDescent="0.55000000000000004">
      <c r="A43" s="54"/>
    </row>
    <row r="45" spans="1:1" ht="24" customHeight="1" x14ac:dyDescent="0.55000000000000004">
      <c r="A45" s="54"/>
    </row>
    <row r="46" spans="1:1" ht="24" customHeight="1" x14ac:dyDescent="0.55000000000000004">
      <c r="A46" s="54"/>
    </row>
  </sheetData>
  <sheetProtection algorithmName="SHA-512" hashValue="uXUCPlitsUf2plAednKTPLEWW8IA3a+r6+3RuRXNa6pTNbjTluclbl1L60cpLS9qC15hvUfGNSgwO0HK5vN9Wg==" saltValue="oKAAyrmiMMj0kjSeC6ng+A==" spinCount="100000" sheet="1" objects="1" scenarios="1" selectLockedCells="1"/>
  <mergeCells count="23"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A8:B8"/>
    <mergeCell ref="A9:H9"/>
    <mergeCell ref="C12:F12"/>
    <mergeCell ref="C13:F13"/>
    <mergeCell ref="C14:F14"/>
    <mergeCell ref="A7:H7"/>
    <mergeCell ref="A1:H1"/>
    <mergeCell ref="A2:B2"/>
    <mergeCell ref="A4:B4"/>
    <mergeCell ref="A5:H5"/>
    <mergeCell ref="A6:B6"/>
  </mergeCells>
  <conditionalFormatting sqref="C2:H2">
    <cfRule type="colorScale" priority="26">
      <colorScale>
        <cfvo type="min"/>
        <cfvo type="percentile" val="50"/>
        <cfvo type="max"/>
        <color rgb="FFF8696B"/>
        <color rgb="FFFCFCFF"/>
        <color rgb="FF33CC33"/>
      </colorScale>
    </cfRule>
  </conditionalFormatting>
  <conditionalFormatting sqref="C4:H4">
    <cfRule type="colorScale" priority="25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C6:H6">
    <cfRule type="colorScale" priority="24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C8:H8">
    <cfRule type="colorScale" priority="23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C4 C6:H6 C8:H8">
    <cfRule type="cellIs" dxfId="24" priority="22" operator="equal">
      <formula>"มี"</formula>
    </cfRule>
  </conditionalFormatting>
  <conditionalFormatting sqref="D4 D6 D8">
    <cfRule type="cellIs" dxfId="23" priority="21" operator="equal">
      <formula>"มี"</formula>
    </cfRule>
  </conditionalFormatting>
  <conditionalFormatting sqref="E4 E6 E8">
    <cfRule type="cellIs" dxfId="22" priority="20" operator="equal">
      <formula>"มี"</formula>
    </cfRule>
  </conditionalFormatting>
  <conditionalFormatting sqref="F4 F6 F8">
    <cfRule type="cellIs" dxfId="21" priority="19" operator="equal">
      <formula>"มี"</formula>
    </cfRule>
  </conditionalFormatting>
  <conditionalFormatting sqref="G4 G6 G8">
    <cfRule type="cellIs" dxfId="20" priority="18" operator="equal">
      <formula>"มี"</formula>
    </cfRule>
  </conditionalFormatting>
  <conditionalFormatting sqref="H4 H6 H8">
    <cfRule type="cellIs" dxfId="19" priority="17" operator="equal">
      <formula>"มี"</formula>
    </cfRule>
  </conditionalFormatting>
  <conditionalFormatting sqref="G12:G26">
    <cfRule type="cellIs" dxfId="18" priority="2" operator="equal">
      <formula>"มี"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DataSet!$G$19:$G$20</xm:f>
          </x14:formula1>
          <xm:sqref>C6:H6 G12:G26 C4:H4 C8:H8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N40"/>
  <sheetViews>
    <sheetView zoomScaleNormal="100" workbookViewId="0">
      <selection activeCell="C4" sqref="C4"/>
    </sheetView>
  </sheetViews>
  <sheetFormatPr defaultColWidth="8.25" defaultRowHeight="24" x14ac:dyDescent="0.55000000000000004"/>
  <cols>
    <col min="1" max="1" width="5.25" style="7" customWidth="1"/>
    <col min="2" max="2" width="19.5" style="6" customWidth="1"/>
    <col min="3" max="8" width="12.375" style="6" customWidth="1"/>
    <col min="9" max="9" width="5" style="33" bestFit="1" customWidth="1"/>
    <col min="10" max="12" width="8.25" style="140"/>
    <col min="13" max="13" width="8.25" style="90"/>
    <col min="14" max="14" width="8.25" style="7"/>
    <col min="15" max="16384" width="8.25" style="6"/>
  </cols>
  <sheetData>
    <row r="1" spans="1:14" s="5" customFormat="1" ht="30.75" x14ac:dyDescent="0.7">
      <c r="A1" s="193" t="s">
        <v>87</v>
      </c>
      <c r="B1" s="193"/>
      <c r="C1" s="193"/>
      <c r="D1" s="193"/>
      <c r="E1" s="193"/>
      <c r="F1" s="193"/>
      <c r="G1" s="193"/>
      <c r="H1" s="193"/>
      <c r="I1" s="30"/>
      <c r="J1" s="138"/>
      <c r="K1" s="138"/>
      <c r="L1" s="138"/>
      <c r="M1" s="89"/>
      <c r="N1" s="8"/>
    </row>
    <row r="2" spans="1:14" s="5" customFormat="1" ht="30.75" x14ac:dyDescent="0.7">
      <c r="A2" s="180" t="s">
        <v>51</v>
      </c>
      <c r="B2" s="180"/>
      <c r="C2" s="8">
        <v>0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30"/>
      <c r="J2" s="138"/>
      <c r="K2" s="138"/>
      <c r="L2" s="138"/>
      <c r="M2" s="89"/>
      <c r="N2" s="8"/>
    </row>
    <row r="3" spans="1:14" s="4" customFormat="1" ht="27.75" x14ac:dyDescent="0.65">
      <c r="A3" s="29" t="s">
        <v>88</v>
      </c>
      <c r="B3" s="29"/>
      <c r="C3" s="29"/>
      <c r="D3" s="29"/>
      <c r="E3" s="29"/>
      <c r="F3" s="29"/>
      <c r="G3" s="29"/>
      <c r="H3" s="29"/>
      <c r="I3" s="31"/>
      <c r="J3" s="139"/>
      <c r="K3" s="139"/>
      <c r="L3" s="139"/>
      <c r="M3" s="87"/>
      <c r="N3" s="10"/>
    </row>
    <row r="4" spans="1:14" s="2" customFormat="1" ht="27.75" x14ac:dyDescent="0.65">
      <c r="A4" s="178" t="s">
        <v>49</v>
      </c>
      <c r="B4" s="178"/>
      <c r="C4" s="69"/>
      <c r="D4" s="34"/>
      <c r="E4" s="35"/>
      <c r="F4" s="35"/>
      <c r="G4" s="35"/>
      <c r="H4" s="35"/>
      <c r="I4" s="94">
        <f>COUNTIF(D4:H4,DataSet!G19)</f>
        <v>0</v>
      </c>
      <c r="J4" s="112"/>
      <c r="K4" s="112"/>
      <c r="L4" s="112"/>
      <c r="M4" s="88"/>
      <c r="N4" s="11"/>
    </row>
    <row r="5" spans="1:14" s="2" customFormat="1" ht="27.75" x14ac:dyDescent="0.65">
      <c r="A5" s="48"/>
      <c r="B5" s="49"/>
      <c r="C5" s="49"/>
      <c r="D5" s="49"/>
      <c r="E5" s="49"/>
      <c r="F5" s="49"/>
      <c r="G5" s="49"/>
      <c r="H5" s="49"/>
      <c r="I5" s="32"/>
      <c r="J5" s="112"/>
      <c r="K5" s="112"/>
      <c r="L5" s="112"/>
      <c r="M5" s="88"/>
      <c r="N5" s="11"/>
    </row>
    <row r="6" spans="1:14" s="2" customFormat="1" ht="27.75" x14ac:dyDescent="0.65">
      <c r="A6" s="48"/>
      <c r="B6" s="49"/>
      <c r="C6" s="49"/>
      <c r="D6" s="49"/>
      <c r="E6" s="49"/>
      <c r="F6" s="49"/>
      <c r="G6" s="49"/>
      <c r="H6" s="49"/>
      <c r="I6" s="32"/>
      <c r="J6" s="112"/>
      <c r="K6" s="112"/>
      <c r="L6" s="112"/>
      <c r="M6" s="88"/>
      <c r="N6" s="11"/>
    </row>
    <row r="7" spans="1:14" s="2" customFormat="1" ht="27.75" x14ac:dyDescent="0.65">
      <c r="A7" s="48"/>
      <c r="B7" s="49"/>
      <c r="C7" s="49"/>
      <c r="D7" s="49"/>
      <c r="E7" s="49"/>
      <c r="F7" s="49"/>
      <c r="G7" s="49"/>
      <c r="H7" s="49"/>
      <c r="I7" s="32"/>
      <c r="J7" s="112"/>
      <c r="K7" s="112"/>
      <c r="L7" s="112"/>
      <c r="M7" s="88"/>
      <c r="N7" s="11"/>
    </row>
    <row r="8" spans="1:14" s="2" customFormat="1" ht="23.25" customHeight="1" x14ac:dyDescent="0.65">
      <c r="A8" s="48"/>
      <c r="B8" s="49"/>
      <c r="C8" s="49"/>
      <c r="D8" s="49"/>
      <c r="E8" s="49"/>
      <c r="F8" s="49"/>
      <c r="G8" s="49"/>
      <c r="H8" s="49"/>
      <c r="I8" s="32"/>
      <c r="J8" s="112"/>
      <c r="K8" s="112"/>
      <c r="L8" s="112"/>
      <c r="M8" s="88"/>
      <c r="N8" s="11"/>
    </row>
    <row r="9" spans="1:14" ht="24" customHeight="1" x14ac:dyDescent="0.55000000000000004">
      <c r="A9" s="50"/>
      <c r="B9" s="51"/>
      <c r="C9" s="51"/>
      <c r="D9" s="51"/>
      <c r="E9" s="51"/>
      <c r="F9" s="51"/>
      <c r="G9" s="51"/>
      <c r="H9" s="51"/>
    </row>
    <row r="10" spans="1:14" ht="24" customHeight="1" x14ac:dyDescent="0.55000000000000004">
      <c r="A10" s="53"/>
      <c r="B10" s="54"/>
      <c r="C10" s="54"/>
      <c r="D10" s="54"/>
      <c r="E10" s="54"/>
      <c r="F10" s="54"/>
      <c r="G10" s="54"/>
      <c r="H10" s="54"/>
    </row>
    <row r="11" spans="1:14" ht="24" customHeight="1" x14ac:dyDescent="0.55000000000000004">
      <c r="A11" s="6"/>
    </row>
    <row r="12" spans="1:14" ht="24" customHeight="1" x14ac:dyDescent="0.55000000000000004">
      <c r="A12" s="6"/>
    </row>
    <row r="13" spans="1:14" ht="24" customHeight="1" x14ac:dyDescent="0.55000000000000004">
      <c r="A13" s="6"/>
    </row>
    <row r="14" spans="1:14" ht="24" customHeight="1" x14ac:dyDescent="0.55000000000000004">
      <c r="A14" s="6"/>
    </row>
    <row r="15" spans="1:14" ht="24" customHeight="1" x14ac:dyDescent="0.55000000000000004">
      <c r="A15" s="6"/>
    </row>
    <row r="16" spans="1:14" ht="24" customHeight="1" x14ac:dyDescent="0.55000000000000004">
      <c r="A16" s="6"/>
    </row>
    <row r="17" spans="1:1" ht="24" customHeight="1" x14ac:dyDescent="0.55000000000000004">
      <c r="A17" s="6"/>
    </row>
    <row r="18" spans="1:1" ht="24" customHeight="1" x14ac:dyDescent="0.55000000000000004">
      <c r="A18" s="6"/>
    </row>
    <row r="19" spans="1:1" ht="24" customHeight="1" x14ac:dyDescent="0.55000000000000004">
      <c r="A19" s="6"/>
    </row>
    <row r="20" spans="1:1" ht="24" customHeight="1" x14ac:dyDescent="0.55000000000000004">
      <c r="A20" s="6"/>
    </row>
    <row r="21" spans="1:1" ht="24" customHeight="1" x14ac:dyDescent="0.55000000000000004">
      <c r="A21" s="6"/>
    </row>
    <row r="22" spans="1:1" ht="24" customHeight="1" x14ac:dyDescent="0.55000000000000004">
      <c r="A22" s="6"/>
    </row>
    <row r="23" spans="1:1" ht="24" customHeight="1" x14ac:dyDescent="0.55000000000000004">
      <c r="A23" s="6"/>
    </row>
    <row r="24" spans="1:1" ht="24" customHeight="1" x14ac:dyDescent="0.55000000000000004">
      <c r="A24" s="6"/>
    </row>
    <row r="25" spans="1:1" ht="24" customHeight="1" x14ac:dyDescent="0.55000000000000004">
      <c r="A25" s="6"/>
    </row>
    <row r="26" spans="1:1" ht="24" customHeight="1" x14ac:dyDescent="0.55000000000000004">
      <c r="A26" s="6"/>
    </row>
    <row r="27" spans="1:1" ht="24" customHeight="1" x14ac:dyDescent="0.55000000000000004">
      <c r="A27" s="6"/>
    </row>
    <row r="28" spans="1:1" ht="24" customHeight="1" x14ac:dyDescent="0.55000000000000004">
      <c r="A28" s="6"/>
    </row>
    <row r="29" spans="1:1" ht="24" customHeight="1" x14ac:dyDescent="0.55000000000000004">
      <c r="A29" s="6"/>
    </row>
    <row r="30" spans="1:1" ht="24" customHeight="1" x14ac:dyDescent="0.55000000000000004">
      <c r="A30" s="6"/>
    </row>
    <row r="31" spans="1:1" ht="24" customHeight="1" x14ac:dyDescent="0.55000000000000004">
      <c r="A31" s="6"/>
    </row>
    <row r="34" spans="1:1" ht="24" customHeight="1" x14ac:dyDescent="0.55000000000000004">
      <c r="A34" s="6"/>
    </row>
    <row r="35" spans="1:1" ht="24" customHeight="1" x14ac:dyDescent="0.55000000000000004">
      <c r="A35" s="6"/>
    </row>
    <row r="36" spans="1:1" ht="24" customHeight="1" x14ac:dyDescent="0.55000000000000004">
      <c r="A36" s="6"/>
    </row>
    <row r="37" spans="1:1" ht="24" customHeight="1" x14ac:dyDescent="0.55000000000000004">
      <c r="A37" s="6"/>
    </row>
    <row r="39" spans="1:1" ht="24" customHeight="1" x14ac:dyDescent="0.55000000000000004">
      <c r="A39" s="6"/>
    </row>
    <row r="40" spans="1:1" ht="24" customHeight="1" x14ac:dyDescent="0.55000000000000004">
      <c r="A40" s="6"/>
    </row>
  </sheetData>
  <sheetProtection algorithmName="SHA-512" hashValue="E6oYhgXtoGSWWn4zvtPM0s7Z5kl2MZcSPZLO34LKisk2AB6UyVGCZmt668seHSdjQV46EFjUwwJeCOMCq2gnQA==" saltValue="asCly3czf3/AuOx3GYGiNQ==" spinCount="100000" sheet="1" objects="1" scenarios="1" selectLockedCells="1"/>
  <mergeCells count="3">
    <mergeCell ref="A1:H1"/>
    <mergeCell ref="A2:B2"/>
    <mergeCell ref="A4:B4"/>
  </mergeCells>
  <conditionalFormatting sqref="C2:H2">
    <cfRule type="colorScale" priority="17">
      <colorScale>
        <cfvo type="min"/>
        <cfvo type="percentile" val="50"/>
        <cfvo type="max"/>
        <color rgb="FFF8696B"/>
        <color rgb="FFFCFCFF"/>
        <color rgb="FF33CC33"/>
      </colorScale>
    </cfRule>
  </conditionalFormatting>
  <conditionalFormatting sqref="C4:H4">
    <cfRule type="colorScale" priority="16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C4">
    <cfRule type="cellIs" dxfId="17" priority="13" operator="equal">
      <formula>"มี"</formula>
    </cfRule>
  </conditionalFormatting>
  <conditionalFormatting sqref="C4:H4">
    <cfRule type="cellIs" dxfId="16" priority="12" operator="equal">
      <formula>"มี"</formula>
    </cfRule>
  </conditionalFormatting>
  <conditionalFormatting sqref="E4">
    <cfRule type="cellIs" dxfId="15" priority="11" operator="equal">
      <formula>"มี"</formula>
    </cfRule>
  </conditionalFormatting>
  <conditionalFormatting sqref="F4">
    <cfRule type="cellIs" dxfId="14" priority="10" operator="equal">
      <formula>"มี"</formula>
    </cfRule>
  </conditionalFormatting>
  <conditionalFormatting sqref="G4">
    <cfRule type="cellIs" dxfId="13" priority="9" operator="equal">
      <formula>"มี"</formula>
    </cfRule>
  </conditionalFormatting>
  <conditionalFormatting sqref="H4">
    <cfRule type="cellIs" dxfId="12" priority="8" operator="equal">
      <formula>"มี"</formula>
    </cfRule>
  </conditionalFormatting>
  <conditionalFormatting sqref="D4">
    <cfRule type="cellIs" dxfId="11" priority="5" operator="equal">
      <formula>"มี"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DataSet!$G$19:$G$20</xm:f>
          </x14:formula1>
          <xm:sqref>C4:H4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P19"/>
  <sheetViews>
    <sheetView topLeftCell="A4" zoomScaleNormal="100" workbookViewId="0">
      <selection activeCell="D14" sqref="D14:G14"/>
    </sheetView>
  </sheetViews>
  <sheetFormatPr defaultRowHeight="27.75" x14ac:dyDescent="0.65"/>
  <cols>
    <col min="1" max="1" width="12.5" style="3" bestFit="1" customWidth="1"/>
    <col min="2" max="2" width="9" style="3"/>
    <col min="3" max="3" width="8.75" style="3" customWidth="1"/>
    <col min="4" max="7" width="3.5" style="3" customWidth="1"/>
    <col min="8" max="10" width="4.25" style="3" customWidth="1"/>
    <col min="11" max="12" width="6.125" style="3" customWidth="1"/>
    <col min="13" max="13" width="11.625" style="11" customWidth="1"/>
    <col min="14" max="14" width="15.125" style="11" bestFit="1" customWidth="1"/>
    <col min="15" max="15" width="25.875" style="3" customWidth="1"/>
    <col min="16" max="16" width="10.5" style="3" hidden="1" customWidth="1"/>
    <col min="17" max="20" width="0" style="3" hidden="1" customWidth="1"/>
    <col min="21" max="16384" width="9" style="3"/>
  </cols>
  <sheetData>
    <row r="1" spans="1:16" ht="36" customHeight="1" x14ac:dyDescent="0.9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ht="23.25" customHeight="1" x14ac:dyDescent="0.65">
      <c r="A2" s="10"/>
      <c r="B2" s="10"/>
      <c r="E2" s="9" t="s">
        <v>9</v>
      </c>
      <c r="F2" s="23">
        <f>DataSet!E3</f>
        <v>0</v>
      </c>
      <c r="G2" s="10"/>
      <c r="H2" s="10"/>
      <c r="I2" s="10"/>
      <c r="L2" s="9" t="s">
        <v>10</v>
      </c>
      <c r="M2" s="23">
        <f>DataSet!J3</f>
        <v>0</v>
      </c>
      <c r="O2" s="10"/>
    </row>
    <row r="3" spans="1:16" ht="22.5" customHeight="1" x14ac:dyDescent="0.65">
      <c r="A3" s="10"/>
      <c r="B3" s="10"/>
      <c r="E3" s="10"/>
      <c r="F3" s="10"/>
      <c r="G3" s="10"/>
      <c r="H3" s="10"/>
      <c r="J3" s="9" t="s">
        <v>170</v>
      </c>
      <c r="K3" s="23">
        <f>DataSet!C5</f>
        <v>0</v>
      </c>
      <c r="L3" s="23"/>
      <c r="M3" s="10"/>
      <c r="N3" s="10"/>
      <c r="O3" s="10"/>
    </row>
    <row r="4" spans="1:16" ht="7.5" customHeight="1" x14ac:dyDescent="0.65"/>
    <row r="5" spans="1:16" s="10" customFormat="1" x14ac:dyDescent="0.65">
      <c r="A5" s="111" t="s">
        <v>1</v>
      </c>
      <c r="B5" s="206" t="s">
        <v>2</v>
      </c>
      <c r="C5" s="206"/>
      <c r="D5" s="206" t="s">
        <v>3</v>
      </c>
      <c r="E5" s="206"/>
      <c r="F5" s="206"/>
      <c r="G5" s="206"/>
      <c r="H5" s="206" t="s">
        <v>4</v>
      </c>
      <c r="I5" s="206"/>
      <c r="J5" s="206"/>
      <c r="K5" s="206" t="s">
        <v>5</v>
      </c>
      <c r="L5" s="206"/>
      <c r="M5" s="111" t="s">
        <v>6</v>
      </c>
      <c r="N5" s="111" t="s">
        <v>211</v>
      </c>
      <c r="O5" s="111" t="s">
        <v>7</v>
      </c>
    </row>
    <row r="6" spans="1:16" x14ac:dyDescent="0.65">
      <c r="A6" s="70">
        <v>1</v>
      </c>
      <c r="B6" s="207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  <c r="O6" s="27">
        <f>IF(DataSet!B3=DataSet!C19,'องค์ 1'!G15,'องค์ 1'!G16)</f>
        <v>0</v>
      </c>
    </row>
    <row r="7" spans="1:16" x14ac:dyDescent="0.65">
      <c r="A7" s="71">
        <v>2</v>
      </c>
      <c r="B7" s="210" t="s">
        <v>8</v>
      </c>
      <c r="C7" s="113">
        <f>IF('องค์ 2'!I3=0,0,IF(DataSet!B3=DataSet!C19,COUNTA(DataSet!S3:S4),IF(DataSet!B3=DataSet!C20,COUNTA(DataSet!S3,DataSet!S5),COUNTA(DataSet!S3,DataSet!S6))))</f>
        <v>0</v>
      </c>
      <c r="D7" s="199"/>
      <c r="E7" s="197"/>
      <c r="F7" s="197"/>
      <c r="G7" s="198"/>
      <c r="H7" s="211"/>
      <c r="I7" s="211"/>
      <c r="J7" s="211"/>
      <c r="K7" s="196" t="str">
        <f>IF('องค์ 2'!I3=0,"N/A",IF(DataSet!B3=DataSet!C19,DataSet!T4,IF(DataSet!B3=DataSet!C20,DataSet!T5,DataSet!T6)))</f>
        <v>N/A</v>
      </c>
      <c r="L7" s="198"/>
      <c r="M7" s="73" t="str">
        <f>IF('องค์ 2'!I3=0,"N/A",IF(DataSet!B3=DataSet!C19,วิเคราะห์คุณภาพ!B17,IF(DataSet!B3=DataSet!C20,วิเคราะห์คุณภาพ!B18,วิเคราะห์คุณภาพ!B19)))</f>
        <v>N/A</v>
      </c>
      <c r="N7" s="118" t="str">
        <f>IF(M7="N/A","N/A",IF(M7&gt;4,"ดีมาก",IF(M7&gt;3,"ดี",IF(M7&gt;2,"ปานกลาง","น้อย"))))</f>
        <v>N/A</v>
      </c>
      <c r="O7" s="81" t="str">
        <f>IF(O6=DataSet!E19,"หลักสูตรเป็นไปตามมาตรฐาน","หลักสูตรไม่ได้มาตรฐาน")</f>
        <v>หลักสูตรไม่ได้มาตรฐาน</v>
      </c>
    </row>
    <row r="8" spans="1:16" x14ac:dyDescent="0.65">
      <c r="A8" s="72">
        <v>3</v>
      </c>
      <c r="B8" s="210"/>
      <c r="C8" s="113">
        <f>COUNTA(DataSet!S7:S9)</f>
        <v>3</v>
      </c>
      <c r="D8" s="196">
        <f>DataSet!T9</f>
        <v>0</v>
      </c>
      <c r="E8" s="197"/>
      <c r="F8" s="197"/>
      <c r="G8" s="198"/>
      <c r="H8" s="199"/>
      <c r="I8" s="197"/>
      <c r="J8" s="198"/>
      <c r="K8" s="199"/>
      <c r="L8" s="198"/>
      <c r="M8" s="73">
        <f>AVERAGE('องค์ 3'!I4,'องค์ 3'!I6,'องค์ 3'!I8)</f>
        <v>0</v>
      </c>
      <c r="N8" s="118" t="str">
        <f t="shared" ref="N8:N10" si="0">IF(M8="N/A","N/A",IF(M8&gt;4,"ดีมาก",IF(M8&gt;3,"ดี",IF(M8&gt;2,"ปานกลาง","น้อย"))))</f>
        <v>น้อย</v>
      </c>
      <c r="O8" s="81" t="str">
        <f>IF(O6=DataSet!E19,"และมีคุณภาพอยู่ในระดับ","")</f>
        <v/>
      </c>
    </row>
    <row r="9" spans="1:16" x14ac:dyDescent="0.65">
      <c r="A9" s="74">
        <v>4</v>
      </c>
      <c r="B9" s="210"/>
      <c r="C9" s="113">
        <f>COUNTA(DataSet!S10,DataSet!S11,DataSet!S13)</f>
        <v>3</v>
      </c>
      <c r="D9" s="196" t="e">
        <f>IF(DataSet!B3=DataSet!C21,DataSet!T12,DataSet!T11)</f>
        <v>#DIV/0!</v>
      </c>
      <c r="E9" s="197"/>
      <c r="F9" s="197"/>
      <c r="G9" s="198"/>
      <c r="H9" s="199"/>
      <c r="I9" s="197"/>
      <c r="J9" s="198"/>
      <c r="K9" s="199"/>
      <c r="L9" s="198"/>
      <c r="M9" s="73" t="e">
        <f>AVERAGE('องค์ 4'!I4,'องค์ 4'!J6,'องค์ 4'!I11)</f>
        <v>#DIV/0!</v>
      </c>
      <c r="N9" s="118" t="e">
        <f t="shared" si="0"/>
        <v>#DIV/0!</v>
      </c>
      <c r="O9" s="195" t="str">
        <f>IF(O7="หลักสูตรไม่ได้มาตรฐาน"," ",IF(M13&gt;4,"ดีมาก",IF(M13&gt;3,"ดี",IF(M13&gt;2,"ปานกลาง","น้อย"))))</f>
        <v xml:space="preserve"> </v>
      </c>
    </row>
    <row r="10" spans="1:16" x14ac:dyDescent="0.65">
      <c r="A10" s="75">
        <v>5</v>
      </c>
      <c r="B10" s="210"/>
      <c r="C10" s="113">
        <f>COUNTA(DataSet!S14:S17)</f>
        <v>4</v>
      </c>
      <c r="D10" s="196">
        <f>DataSet!T14</f>
        <v>0</v>
      </c>
      <c r="E10" s="197"/>
      <c r="F10" s="197"/>
      <c r="G10" s="198"/>
      <c r="H10" s="196" t="e">
        <f>DataSet!T17</f>
        <v>#DIV/0!</v>
      </c>
      <c r="I10" s="197"/>
      <c r="J10" s="198"/>
      <c r="K10" s="199"/>
      <c r="L10" s="198"/>
      <c r="M10" s="73" t="e">
        <f>AVERAGE('องค์ 5'!I4,'องค์ 5'!I6,'องค์ 5'!I8,'องค์ 5'!K12)</f>
        <v>#DIV/0!</v>
      </c>
      <c r="N10" s="118" t="e">
        <f t="shared" si="0"/>
        <v>#DIV/0!</v>
      </c>
      <c r="O10" s="195"/>
    </row>
    <row r="11" spans="1:16" x14ac:dyDescent="0.65">
      <c r="A11" s="76">
        <v>6</v>
      </c>
      <c r="B11" s="210"/>
      <c r="C11" s="113">
        <f>COUNTA(DataSet!S18)</f>
        <v>1</v>
      </c>
      <c r="D11" s="199"/>
      <c r="E11" s="197"/>
      <c r="F11" s="197"/>
      <c r="G11" s="198"/>
      <c r="H11" s="196">
        <f>DataSet!T18</f>
        <v>0</v>
      </c>
      <c r="I11" s="197"/>
      <c r="J11" s="198"/>
      <c r="K11" s="199"/>
      <c r="L11" s="198"/>
      <c r="M11" s="73">
        <f>AVERAGE('องค์ 6'!I4)</f>
        <v>0</v>
      </c>
      <c r="N11" s="118" t="str">
        <f>IF(M11="N/A","N/A",IF(M11&gt;4,"ดีมาก",IF(M11&gt;3,"ดี",IF(M11&gt;2,"ปานกลาง","น้อย"))))</f>
        <v>น้อย</v>
      </c>
      <c r="O11" s="82"/>
    </row>
    <row r="12" spans="1:16" s="1" customFormat="1" x14ac:dyDescent="0.65">
      <c r="A12" s="114" t="s">
        <v>89</v>
      </c>
      <c r="B12" s="210"/>
      <c r="C12" s="77">
        <f>SUM(C7:C11)</f>
        <v>11</v>
      </c>
      <c r="D12" s="202">
        <f>COUNTA(DataSet!S7:S9,DataSet!S10,DataSet!S11,DataSet!S13,DataSet!S14)</f>
        <v>7</v>
      </c>
      <c r="E12" s="203"/>
      <c r="F12" s="203"/>
      <c r="G12" s="204"/>
      <c r="H12" s="202">
        <f>COUNTA(DataSet!S15:S18)</f>
        <v>4</v>
      </c>
      <c r="I12" s="203"/>
      <c r="J12" s="204"/>
      <c r="K12" s="202">
        <f>IF('องค์ 2'!I3&gt;0,COUNTA(DataSet!S3:S4),0)</f>
        <v>0</v>
      </c>
      <c r="L12" s="204"/>
      <c r="M12" s="146"/>
      <c r="N12" s="147" t="e">
        <f>IF(DataSet!B3=DataSet!C19,DataSet!V3,IF(DataSet!B3=DataSet!C20,DataSet!W3,DataSet!X3))</f>
        <v>#DIV/0!</v>
      </c>
      <c r="O12" s="83"/>
    </row>
    <row r="13" spans="1:16" s="1" customFormat="1" x14ac:dyDescent="0.65">
      <c r="A13" s="200" t="s">
        <v>7</v>
      </c>
      <c r="B13" s="200"/>
      <c r="C13" s="200"/>
      <c r="D13" s="201" t="e">
        <f>IF(DataSet!B3=DataSet!C21,AVERAGE('องค์ 3'!I4,'องค์ 3'!I6,'องค์ 3'!I8,'องค์ 4'!I4,'องค์ 4'!J7,'องค์ 4'!I11,'องค์ 5'!I4),AVERAGE('องค์ 3'!I4,'องค์ 3'!I6,'องค์ 3'!I8,'องค์ 4'!I4,'องค์ 4'!J6,'องค์ 4'!I11,'องค์ 5'!I4))</f>
        <v>#DIV/0!</v>
      </c>
      <c r="E13" s="201"/>
      <c r="F13" s="201"/>
      <c r="G13" s="201"/>
      <c r="H13" s="201" t="e">
        <f>AVERAGE(DataSet!S15:S18)</f>
        <v>#DIV/0!</v>
      </c>
      <c r="I13" s="201"/>
      <c r="J13" s="201"/>
      <c r="K13" s="201">
        <f>IF(DataSet!B3=DataSet!C19,B17,IF(DataSet!B3=DataSet!C20,B18,B19))</f>
        <v>0</v>
      </c>
      <c r="L13" s="201"/>
      <c r="M13" s="80" t="e">
        <f>IF('องค์ 2'!I3&gt;0,วิเคราะห์คุณภาพ!N12,วิเคราะห์คุณภาพ!N13)</f>
        <v>#DIV/0!</v>
      </c>
      <c r="N13" s="148" t="e">
        <f>IF(DataSet!B3=DataSet!C19,DataSet!V4,IF(DataSet!B3=DataSet!C20,DataSet!W4,DataSet!X4))</f>
        <v>#DIV/0!</v>
      </c>
      <c r="O13" s="84"/>
    </row>
    <row r="14" spans="1:16" s="1" customFormat="1" x14ac:dyDescent="0.65">
      <c r="A14" s="200" t="s">
        <v>211</v>
      </c>
      <c r="B14" s="200"/>
      <c r="C14" s="200"/>
      <c r="D14" s="201" t="e">
        <f>IF(D13="N/A","N/A",IF(D13&gt;4,"ดีมาก",IF(D13&gt;3,"ดี",IF(D13&gt;2,"ปานกลาง","น้อย"))))</f>
        <v>#DIV/0!</v>
      </c>
      <c r="E14" s="201"/>
      <c r="F14" s="201"/>
      <c r="G14" s="201"/>
      <c r="H14" s="201" t="e">
        <f>IF(H13="N/A","N/A",IF(H13&gt;4,"ดีมาก",IF(H13&gt;3,"ดี",IF(H13&gt;2,"ปานกลาง","น้อย"))))</f>
        <v>#DIV/0!</v>
      </c>
      <c r="I14" s="201"/>
      <c r="J14" s="201"/>
      <c r="K14" s="201" t="str">
        <f>IF(K13="N/A","N/A",IF(K13&gt;4,"ดีมาก",IF(K13&gt;3,"ดี",IF(K13&gt;2,"ปานกลาง","น้อย"))))</f>
        <v>น้อย</v>
      </c>
      <c r="L14" s="201"/>
      <c r="M14" s="158"/>
      <c r="N14" s="160"/>
      <c r="O14" s="159"/>
    </row>
    <row r="15" spans="1:16" s="85" customFormat="1" x14ac:dyDescent="0.65">
      <c r="M15" s="194" t="s">
        <v>169</v>
      </c>
      <c r="N15" s="194"/>
      <c r="O15" s="194"/>
      <c r="P15" s="194"/>
    </row>
    <row r="16" spans="1:16" s="85" customFormat="1" x14ac:dyDescent="0.65">
      <c r="B16" s="85" t="s">
        <v>31</v>
      </c>
      <c r="C16" s="85" t="s">
        <v>168</v>
      </c>
      <c r="K16" s="16"/>
      <c r="L16" s="16"/>
      <c r="M16" s="112" t="s">
        <v>166</v>
      </c>
      <c r="N16" s="112"/>
      <c r="O16" s="85" t="s">
        <v>167</v>
      </c>
      <c r="P16" s="85" t="s">
        <v>31</v>
      </c>
    </row>
    <row r="17" spans="1:16" s="85" customFormat="1" x14ac:dyDescent="0.65">
      <c r="A17" s="85" t="s">
        <v>94</v>
      </c>
      <c r="B17" s="85">
        <f>IF('องค์ 2'!I3&gt;0,C17,0)</f>
        <v>0</v>
      </c>
      <c r="C17" s="92">
        <f>AVERAGE('องค์ 2'!K4:K5,'องค์ 2'!L8)</f>
        <v>0</v>
      </c>
      <c r="D17" s="92"/>
      <c r="K17" s="16"/>
      <c r="L17" s="16"/>
      <c r="M17" s="86" t="e">
        <f>(SUM('องค์ 2'!K4:K5,'องค์ 2'!L8,'องค์ 3'!I4,'องค์ 3'!I6,'องค์ 3'!I8,'องค์ 4'!I4,'องค์ 4'!J6,'องค์ 4'!I11,'องค์ 5'!I4,'องค์ 5'!I6,'องค์ 5'!I8,'องค์ 5'!K12,'องค์ 6'!I4)/13)</f>
        <v>#DIV/0!</v>
      </c>
      <c r="N17" s="86"/>
      <c r="O17" s="93" t="e">
        <f>(SUM('องค์ 3'!I4,'องค์ 3'!I6,'องค์ 3'!I8,'องค์ 4'!I4,'องค์ 4'!J6,'องค์ 4'!I11,'องค์ 5'!I4,'องค์ 5'!I6,'องค์ 5'!I8,'องค์ 5'!K12,'องค์ 6'!I4)/11)</f>
        <v>#DIV/0!</v>
      </c>
      <c r="P17" s="93" t="e">
        <f>IF('องค์ 2'!I3&gt;0,M17,O17)</f>
        <v>#DIV/0!</v>
      </c>
    </row>
    <row r="18" spans="1:16" s="85" customFormat="1" x14ac:dyDescent="0.65">
      <c r="A18" s="85" t="s">
        <v>95</v>
      </c>
      <c r="B18" s="85">
        <f>IF('องค์ 2'!I3&gt;0,C18,0)</f>
        <v>0</v>
      </c>
      <c r="C18" s="92">
        <f>AVERAGE('องค์ 2'!K4:K5,'องค์ 2'!L18)</f>
        <v>0</v>
      </c>
      <c r="D18" s="92"/>
      <c r="K18" s="16"/>
      <c r="L18" s="16"/>
      <c r="M18" s="86" t="e">
        <f>(SUM('องค์ 2'!K4:K5,'องค์ 2'!L18,'องค์ 3'!I4,'องค์ 3'!I6,'องค์ 3'!I8,'องค์ 4'!I4,'องค์ 4'!J6,'องค์ 4'!I11,'องค์ 5'!I4,'องค์ 5'!I6,'องค์ 5'!I8,'องค์ 5'!K12,'องค์ 6'!I4)/13)</f>
        <v>#DIV/0!</v>
      </c>
      <c r="N18" s="86"/>
      <c r="O18" s="93" t="e">
        <f>(SUM('องค์ 3'!I4,'องค์ 3'!I6,'องค์ 3'!I8,'องค์ 4'!I4,'องค์ 4'!J6,'องค์ 4'!I11,'องค์ 5'!I4,'องค์ 5'!I6,'องค์ 5'!I8,'องค์ 5'!K12,'องค์ 6'!I4)/11)</f>
        <v>#DIV/0!</v>
      </c>
      <c r="P18" s="93" t="e">
        <f>IF('องค์ 2'!I3&gt;0,M18,O18)</f>
        <v>#DIV/0!</v>
      </c>
    </row>
    <row r="19" spans="1:16" s="85" customFormat="1" x14ac:dyDescent="0.65">
      <c r="A19" s="85" t="s">
        <v>96</v>
      </c>
      <c r="B19" s="85">
        <f>IF('องค์ 2'!I3&gt;0,C19,0)</f>
        <v>0</v>
      </c>
      <c r="C19" s="92">
        <f>AVERAGE('องค์ 2'!K4:K5,'องค์ 2'!L21)</f>
        <v>0</v>
      </c>
      <c r="D19" s="92"/>
      <c r="K19" s="16"/>
      <c r="L19" s="16"/>
      <c r="M19" s="86" t="e">
        <f>(SUM('องค์ 2'!K4:K5,'องค์ 2'!L21,'องค์ 3'!I4,'องค์ 3'!I6,'องค์ 3'!I8,'องค์ 4'!I4,'องค์ 4'!J6,'องค์ 4'!I11,'องค์ 5'!I4,'องค์ 5'!I6,'องค์ 5'!I8,'องค์ 5'!K12,'องค์ 6'!I4)/14)</f>
        <v>#DIV/0!</v>
      </c>
      <c r="N19" s="86"/>
      <c r="O19" s="93" t="e">
        <f>(SUM('องค์ 3'!I4,'องค์ 3'!I6,'องค์ 3'!I8,'องค์ 4'!I4,'องค์ 4'!J6,'องค์ 4'!I11,'องค์ 5'!I4,'องค์ 5'!I6,'องค์ 5'!I8,'องค์ 5'!K12,'องค์ 6'!I4)/12)</f>
        <v>#DIV/0!</v>
      </c>
      <c r="P19" s="93" t="e">
        <f>IF('องค์ 2'!I3&gt;0,M19,O19)</f>
        <v>#DIV/0!</v>
      </c>
    </row>
  </sheetData>
  <sheetProtection algorithmName="SHA-512" hashValue="9z7mNnPs3A5a/58qz/kusBrIgrJOfK6a65NYXOmI1sJSRw5j/K8cYQr3+p7+4DVrucUM3uXI1UScSKvYdnXx3w==" saltValue="wF4wv+CIn7vApG+cFmePhg==" spinCount="100000" sheet="1" objects="1" scenarios="1" selectLockedCells="1"/>
  <mergeCells count="35">
    <mergeCell ref="K11:L11"/>
    <mergeCell ref="B7:B12"/>
    <mergeCell ref="D7:G7"/>
    <mergeCell ref="H7:J7"/>
    <mergeCell ref="H8:J8"/>
    <mergeCell ref="K8:L8"/>
    <mergeCell ref="H9:J9"/>
    <mergeCell ref="K9:L9"/>
    <mergeCell ref="D12:G12"/>
    <mergeCell ref="K7:L7"/>
    <mergeCell ref="D8:G8"/>
    <mergeCell ref="D9:G9"/>
    <mergeCell ref="H10:J10"/>
    <mergeCell ref="A1:O1"/>
    <mergeCell ref="B5:C5"/>
    <mergeCell ref="D5:G5"/>
    <mergeCell ref="H5:J5"/>
    <mergeCell ref="K5:L5"/>
    <mergeCell ref="B6:N6"/>
    <mergeCell ref="M15:P15"/>
    <mergeCell ref="O9:O10"/>
    <mergeCell ref="D10:G10"/>
    <mergeCell ref="K10:L10"/>
    <mergeCell ref="A13:C13"/>
    <mergeCell ref="D13:G13"/>
    <mergeCell ref="H13:J13"/>
    <mergeCell ref="K13:L13"/>
    <mergeCell ref="H12:J12"/>
    <mergeCell ref="K12:L12"/>
    <mergeCell ref="A14:C14"/>
    <mergeCell ref="D14:G14"/>
    <mergeCell ref="H14:J14"/>
    <mergeCell ref="K14:L14"/>
    <mergeCell ref="D11:G11"/>
    <mergeCell ref="H11:J11"/>
  </mergeCells>
  <conditionalFormatting sqref="O9:O10">
    <cfRule type="cellIs" dxfId="10" priority="9" operator="equal">
      <formula>"น้อย"</formula>
    </cfRule>
    <cfRule type="cellIs" dxfId="9" priority="10" operator="equal">
      <formula>"ปานกลาง"</formula>
    </cfRule>
    <cfRule type="cellIs" dxfId="8" priority="11" operator="equal">
      <formula>"ดี"</formula>
    </cfRule>
    <cfRule type="cellIs" dxfId="7" priority="12" operator="equal">
      <formula>"ดีมาก"</formula>
    </cfRule>
  </conditionalFormatting>
  <conditionalFormatting sqref="O7">
    <cfRule type="cellIs" dxfId="6" priority="6" operator="equal">
      <formula>"หลักสูตรไม่ได้มาตรฐาน"</formula>
    </cfRule>
    <cfRule type="cellIs" dxfId="5" priority="8" operator="equal">
      <formula>"หลักสูตรเป็นไปตามมาตรฐาน"</formula>
    </cfRule>
  </conditionalFormatting>
  <conditionalFormatting sqref="O8">
    <cfRule type="cellIs" dxfId="4" priority="7" operator="equal">
      <formula>"และมีคุณภาพอยู่ในระดับ"</formula>
    </cfRule>
  </conditionalFormatting>
  <conditionalFormatting sqref="N7:N11 D14:L14">
    <cfRule type="cellIs" dxfId="3" priority="1" operator="equal">
      <formula>"ดีมาก"</formula>
    </cfRule>
    <cfRule type="cellIs" dxfId="2" priority="2" operator="equal">
      <formula>"ดี"</formula>
    </cfRule>
    <cfRule type="cellIs" dxfId="1" priority="3" operator="equal">
      <formula>"ปานกลาง"</formula>
    </cfRule>
    <cfRule type="cellIs" dxfId="0" priority="5" operator="equal">
      <formula>"น้อย"</formula>
    </cfRule>
  </conditionalFormatting>
  <pageMargins left="0.7" right="0.7" top="0.75" bottom="0.75" header="0.3" footer="0.3"/>
  <pageSetup scale="94" fitToHeight="0" orientation="landscape" r:id="rId1"/>
  <headerFooter>
    <oddFooter>&amp;R&amp;"SP SUAN DUSIT,Regular"&amp;12Copyright@2017 by Bunpod Pijitkamnerd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D2D0642A-763C-4BD3-A6B5-BBDB92F3350E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O6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DataSet</vt:lpstr>
      <vt:lpstr>องค์ 1</vt:lpstr>
      <vt:lpstr>องค์ 2</vt:lpstr>
      <vt:lpstr>องค์ 3</vt:lpstr>
      <vt:lpstr>องค์ 4</vt:lpstr>
      <vt:lpstr>องค์ 5</vt:lpstr>
      <vt:lpstr>องค์ 6</vt:lpstr>
      <vt:lpstr>วิเคราะห์คุณภาพ</vt:lpstr>
      <vt:lpstr>ผลประเมินตามตัวบ่งชี้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บรรพต พิจิตรกำเนิด</dc:creator>
  <cp:lastModifiedBy>บรรพต พิจิตรกำเนิด</cp:lastModifiedBy>
  <cp:lastPrinted>2017-06-13T09:29:42Z</cp:lastPrinted>
  <dcterms:created xsi:type="dcterms:W3CDTF">2017-06-07T15:10:11Z</dcterms:created>
  <dcterms:modified xsi:type="dcterms:W3CDTF">2017-08-14T08:23:56Z</dcterms:modified>
</cp:coreProperties>
</file>