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ite\Bunpod_eport\training\"/>
    </mc:Choice>
  </mc:AlternateContent>
  <bookViews>
    <workbookView showSheetTabs="0" xWindow="0" yWindow="0" windowWidth="20490" windowHeight="7455" tabRatio="833"/>
  </bookViews>
  <sheets>
    <sheet name="Menu" sheetId="9" r:id="rId1"/>
    <sheet name="DataSet" sheetId="2" r:id="rId2"/>
    <sheet name="1-งานสอน" sheetId="3" r:id="rId3"/>
    <sheet name="2-งานวิชาการ" sheetId="5" r:id="rId4"/>
    <sheet name="3-งานสนับสนุนการปฏิบัติงาน" sheetId="6" r:id="rId5"/>
    <sheet name="4-งานตามภารกิจของคณะ" sheetId="7" r:id="rId6"/>
    <sheet name="5-พฤติกรรมการปฏิบัติงาน" sheetId="8" r:id="rId7"/>
    <sheet name="6-Report" sheetId="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2" i="8" l="1"/>
  <c r="T63" i="8"/>
  <c r="T55" i="8"/>
  <c r="T56" i="8"/>
  <c r="T57" i="8"/>
  <c r="V55" i="8"/>
  <c r="V54" i="8"/>
  <c r="V56" i="8"/>
  <c r="V57" i="8"/>
  <c r="V62" i="8"/>
  <c r="V63" i="8"/>
  <c r="U54" i="8"/>
  <c r="U55" i="8"/>
  <c r="U56" i="8"/>
  <c r="U57" i="8"/>
  <c r="U62" i="8"/>
  <c r="U63" i="8"/>
  <c r="U64" i="8"/>
  <c r="T58" i="8" l="1"/>
  <c r="O62" i="8"/>
  <c r="O63" i="8"/>
  <c r="K62" i="8"/>
  <c r="K63" i="8"/>
  <c r="T54" i="8"/>
  <c r="T50" i="8"/>
  <c r="K54" i="8"/>
  <c r="K55" i="8"/>
  <c r="K56" i="8"/>
  <c r="K57" i="8"/>
  <c r="K58" i="8"/>
  <c r="J51" i="8" l="1"/>
  <c r="G5" i="1" l="1"/>
  <c r="J4" i="1"/>
  <c r="F3" i="1"/>
  <c r="E3" i="1"/>
  <c r="H3" i="1"/>
  <c r="D3" i="1"/>
  <c r="C3" i="1"/>
  <c r="K68" i="8" l="1"/>
  <c r="K64" i="8"/>
  <c r="J59" i="8" s="1"/>
  <c r="L16" i="1" s="1"/>
  <c r="L15" i="1"/>
  <c r="K50" i="8"/>
  <c r="K47" i="8"/>
  <c r="K43" i="8"/>
  <c r="K42" i="8"/>
  <c r="K38" i="8"/>
  <c r="K37" i="8"/>
  <c r="K33" i="8"/>
  <c r="K32" i="8"/>
  <c r="K31" i="8"/>
  <c r="K30" i="8"/>
  <c r="K29" i="8"/>
  <c r="K25" i="8"/>
  <c r="K24" i="8"/>
  <c r="K23" i="8"/>
  <c r="K22" i="8"/>
  <c r="K11" i="8"/>
  <c r="K12" i="8"/>
  <c r="K13" i="8"/>
  <c r="K14" i="8"/>
  <c r="K15" i="8"/>
  <c r="K16" i="8"/>
  <c r="K17" i="8"/>
  <c r="K18" i="8"/>
  <c r="K10" i="8"/>
  <c r="J39" i="8" l="1"/>
  <c r="F19" i="1" s="1"/>
  <c r="J34" i="8"/>
  <c r="F18" i="1" s="1"/>
  <c r="J26" i="8"/>
  <c r="F17" i="1" s="1"/>
  <c r="J7" i="8"/>
  <c r="F15" i="1" s="1"/>
  <c r="J19" i="8"/>
  <c r="F16" i="1" s="1"/>
  <c r="M15" i="6"/>
  <c r="O31" i="8"/>
  <c r="O24" i="8"/>
  <c r="V69" i="8"/>
  <c r="U69" i="8"/>
  <c r="T69" i="8"/>
  <c r="V68" i="8"/>
  <c r="U68" i="8"/>
  <c r="T68" i="8"/>
  <c r="O68" i="8" s="1"/>
  <c r="V64" i="8"/>
  <c r="T64" i="8"/>
  <c r="O64" i="8" s="1"/>
  <c r="V58" i="8"/>
  <c r="U58" i="8"/>
  <c r="N51" i="8" s="1"/>
  <c r="V50" i="8"/>
  <c r="U50" i="8"/>
  <c r="O50" i="8"/>
  <c r="V49" i="8"/>
  <c r="U49" i="8"/>
  <c r="T49" i="8"/>
  <c r="V48" i="8"/>
  <c r="U48" i="8"/>
  <c r="T48" i="8"/>
  <c r="V47" i="8"/>
  <c r="U47" i="8"/>
  <c r="T47" i="8"/>
  <c r="O47" i="8" s="1"/>
  <c r="V43" i="8"/>
  <c r="U43" i="8"/>
  <c r="T43" i="8"/>
  <c r="O43" i="8" s="1"/>
  <c r="V42" i="8"/>
  <c r="U42" i="8"/>
  <c r="T42" i="8"/>
  <c r="O42" i="8" s="1"/>
  <c r="V38" i="8"/>
  <c r="U38" i="8"/>
  <c r="T38" i="8"/>
  <c r="O38" i="8" s="1"/>
  <c r="V37" i="8"/>
  <c r="U37" i="8"/>
  <c r="T37" i="8"/>
  <c r="O37" i="8" s="1"/>
  <c r="V33" i="8"/>
  <c r="U33" i="8"/>
  <c r="T33" i="8"/>
  <c r="O33" i="8" s="1"/>
  <c r="V32" i="8"/>
  <c r="U32" i="8"/>
  <c r="T32" i="8"/>
  <c r="O32" i="8" s="1"/>
  <c r="V31" i="8"/>
  <c r="U31" i="8"/>
  <c r="T31" i="8"/>
  <c r="V30" i="8"/>
  <c r="U30" i="8"/>
  <c r="T30" i="8"/>
  <c r="O30" i="8" s="1"/>
  <c r="V29" i="8"/>
  <c r="U29" i="8"/>
  <c r="T29" i="8"/>
  <c r="O29" i="8" s="1"/>
  <c r="V25" i="8"/>
  <c r="U25" i="8"/>
  <c r="T25" i="8"/>
  <c r="O25" i="8" s="1"/>
  <c r="V24" i="8"/>
  <c r="U24" i="8"/>
  <c r="T24" i="8"/>
  <c r="V23" i="8"/>
  <c r="U23" i="8"/>
  <c r="T23" i="8"/>
  <c r="O23" i="8" s="1"/>
  <c r="V22" i="8"/>
  <c r="U22" i="8"/>
  <c r="T22" i="8"/>
  <c r="O22" i="8" s="1"/>
  <c r="V10" i="8"/>
  <c r="U10" i="8"/>
  <c r="T10" i="8"/>
  <c r="T18" i="8"/>
  <c r="O18" i="8" s="1"/>
  <c r="V18" i="8"/>
  <c r="U18" i="8"/>
  <c r="V17" i="8"/>
  <c r="U17" i="8"/>
  <c r="T17" i="8"/>
  <c r="O17" i="8" s="1"/>
  <c r="V16" i="8"/>
  <c r="U16" i="8"/>
  <c r="T16" i="8"/>
  <c r="O16" i="8" s="1"/>
  <c r="V15" i="8"/>
  <c r="U15" i="8"/>
  <c r="T15" i="8"/>
  <c r="O15" i="8" s="1"/>
  <c r="V14" i="8"/>
  <c r="U14" i="8"/>
  <c r="T14" i="8"/>
  <c r="O14" i="8" s="1"/>
  <c r="V13" i="8"/>
  <c r="U13" i="8"/>
  <c r="T13" i="8"/>
  <c r="V12" i="8"/>
  <c r="U12" i="8"/>
  <c r="T12" i="8"/>
  <c r="O12" i="8" s="1"/>
  <c r="V11" i="8"/>
  <c r="U11" i="8"/>
  <c r="T11" i="8"/>
  <c r="N39" i="8" l="1"/>
  <c r="N34" i="8"/>
  <c r="N59" i="8"/>
  <c r="N26" i="8"/>
  <c r="N19" i="8"/>
  <c r="O13" i="8"/>
  <c r="O11" i="8"/>
  <c r="M8" i="7"/>
  <c r="J1" i="8"/>
  <c r="O48" i="8" l="1"/>
  <c r="K48" i="8"/>
  <c r="O49" i="8"/>
  <c r="K49" i="8"/>
  <c r="O69" i="8"/>
  <c r="N65" i="8" s="1"/>
  <c r="K69" i="8"/>
  <c r="J65" i="8" s="1"/>
  <c r="L17" i="1" s="1"/>
  <c r="L13" i="3"/>
  <c r="L12" i="3"/>
  <c r="L11" i="3"/>
  <c r="L10" i="3"/>
  <c r="L9" i="3"/>
  <c r="L8" i="3"/>
  <c r="M10" i="6"/>
  <c r="L71" i="5"/>
  <c r="L70" i="5"/>
  <c r="L69" i="5"/>
  <c r="L68" i="5"/>
  <c r="L67" i="5"/>
  <c r="L66" i="5"/>
  <c r="L65" i="5"/>
  <c r="L64" i="5"/>
  <c r="L60" i="5"/>
  <c r="L59" i="5"/>
  <c r="L58" i="5"/>
  <c r="L57" i="5"/>
  <c r="L56" i="5"/>
  <c r="L55" i="5"/>
  <c r="L54" i="5"/>
  <c r="L53" i="5"/>
  <c r="L49" i="5"/>
  <c r="L48" i="5"/>
  <c r="L47" i="5"/>
  <c r="L46" i="5"/>
  <c r="L45" i="5"/>
  <c r="L44" i="5"/>
  <c r="L43" i="5"/>
  <c r="L42" i="5"/>
  <c r="L38" i="5"/>
  <c r="L37" i="5"/>
  <c r="L36" i="5"/>
  <c r="L35" i="5"/>
  <c r="L34" i="5"/>
  <c r="L30" i="5"/>
  <c r="L29" i="5"/>
  <c r="L28" i="5"/>
  <c r="L27" i="5"/>
  <c r="L26" i="5"/>
  <c r="L21" i="5"/>
  <c r="L22" i="5"/>
  <c r="L20" i="5"/>
  <c r="L19" i="5"/>
  <c r="L18" i="5"/>
  <c r="L14" i="5"/>
  <c r="L13" i="5"/>
  <c r="L12" i="5"/>
  <c r="L11" i="5"/>
  <c r="L10" i="5"/>
  <c r="K44" i="1"/>
  <c r="K43" i="1"/>
  <c r="K42" i="1"/>
  <c r="K41" i="1"/>
  <c r="K13" i="6" l="1"/>
  <c r="K8" i="6"/>
  <c r="N44" i="8"/>
  <c r="J44" i="8"/>
  <c r="L18" i="1"/>
  <c r="L9" i="1"/>
  <c r="L41" i="1"/>
  <c r="L42" i="1"/>
  <c r="C39" i="1"/>
  <c r="M26" i="7"/>
  <c r="M25" i="7"/>
  <c r="M24" i="7"/>
  <c r="M23" i="7"/>
  <c r="M22" i="7"/>
  <c r="M21" i="7"/>
  <c r="M20" i="7"/>
  <c r="M19" i="7"/>
  <c r="M51" i="6"/>
  <c r="M50" i="6"/>
  <c r="M49" i="6"/>
  <c r="M48" i="6"/>
  <c r="M47" i="6"/>
  <c r="M46" i="6"/>
  <c r="M45" i="6"/>
  <c r="M44" i="6"/>
  <c r="M43" i="6"/>
  <c r="M42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J6" i="8" l="1"/>
  <c r="F20" i="1"/>
  <c r="L43" i="1"/>
  <c r="G37" i="2" l="1"/>
  <c r="G36" i="2"/>
  <c r="G35" i="2"/>
  <c r="G34" i="2"/>
  <c r="G33" i="2"/>
  <c r="G32" i="2"/>
  <c r="M15" i="7" l="1"/>
  <c r="M14" i="7"/>
  <c r="M13" i="7"/>
  <c r="M12" i="7"/>
  <c r="M11" i="7"/>
  <c r="M10" i="7"/>
  <c r="M9" i="7"/>
  <c r="L44" i="1" l="1"/>
  <c r="L11" i="1" s="1"/>
  <c r="K17" i="6"/>
  <c r="K40" i="6"/>
  <c r="J24" i="5"/>
  <c r="J16" i="5"/>
  <c r="J8" i="5"/>
  <c r="K26" i="7"/>
  <c r="K25" i="7"/>
  <c r="K24" i="7"/>
  <c r="K23" i="7"/>
  <c r="K22" i="7"/>
  <c r="K21" i="7"/>
  <c r="K20" i="7"/>
  <c r="K19" i="7"/>
  <c r="I26" i="7"/>
  <c r="I25" i="7"/>
  <c r="I24" i="7"/>
  <c r="I23" i="7"/>
  <c r="I22" i="7"/>
  <c r="I21" i="7"/>
  <c r="I20" i="7"/>
  <c r="I19" i="7"/>
  <c r="K8" i="7"/>
  <c r="K14" i="7"/>
  <c r="K13" i="7"/>
  <c r="K12" i="7"/>
  <c r="K11" i="7"/>
  <c r="K10" i="7"/>
  <c r="K9" i="7"/>
  <c r="K15" i="7"/>
  <c r="I15" i="7"/>
  <c r="I14" i="7"/>
  <c r="I13" i="7"/>
  <c r="I12" i="7"/>
  <c r="I11" i="7"/>
  <c r="I10" i="7"/>
  <c r="I9" i="7"/>
  <c r="I8" i="7"/>
  <c r="I1" i="7"/>
  <c r="I34" i="6"/>
  <c r="K34" i="6"/>
  <c r="I35" i="6"/>
  <c r="K35" i="6"/>
  <c r="I36" i="6"/>
  <c r="K36" i="6"/>
  <c r="I37" i="6"/>
  <c r="K37" i="6"/>
  <c r="I38" i="6"/>
  <c r="K38" i="6"/>
  <c r="K6" i="6" l="1"/>
  <c r="K17" i="7"/>
  <c r="K6" i="7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I20" i="6"/>
  <c r="K19" i="6"/>
  <c r="I19" i="6"/>
  <c r="I1" i="6" l="1"/>
  <c r="J51" i="5" l="1"/>
  <c r="J62" i="5" l="1"/>
  <c r="J40" i="5"/>
  <c r="I1" i="5"/>
  <c r="I1" i="3"/>
  <c r="J1" i="1"/>
  <c r="J32" i="5" l="1"/>
  <c r="J6" i="5" s="1"/>
  <c r="J6" i="3"/>
  <c r="C5" i="1"/>
  <c r="G4" i="1"/>
  <c r="C4" i="1"/>
  <c r="I35" i="1"/>
  <c r="C35" i="1"/>
  <c r="G9" i="1" l="1"/>
  <c r="G11" i="1" s="1"/>
  <c r="O10" i="8"/>
  <c r="N7" i="8" s="1"/>
  <c r="N6" i="8" s="1"/>
  <c r="L8" i="1" l="1"/>
  <c r="F25" i="1"/>
  <c r="F21" i="1"/>
  <c r="F26" i="1" s="1"/>
  <c r="G25" i="1" l="1"/>
  <c r="I25" i="1" s="1"/>
</calcChain>
</file>

<file path=xl/comments1.xml><?xml version="1.0" encoding="utf-8"?>
<comments xmlns="http://schemas.openxmlformats.org/spreadsheetml/2006/main">
  <authors>
    <author>บรรพต พิจิตรกำเนิด</author>
  </authors>
  <commentList>
    <comment ref="H10" authorId="0" shapeId="0">
      <text>
        <r>
          <rPr>
            <sz val="16"/>
            <color indexed="39"/>
            <rFont val="TH SarabunPSK"/>
            <family val="2"/>
          </rPr>
          <t>ใช้สัญลักษณ์ เลข 1 
ในตำแหน่งที่ต้องการเลือก</t>
        </r>
      </text>
    </comment>
    <comment ref="I10" authorId="0" shapeId="0">
      <text>
        <r>
          <rPr>
            <sz val="16"/>
            <color indexed="39"/>
            <rFont val="TH SarabunPSK"/>
            <family val="2"/>
          </rPr>
          <t>ใช้สัญลักษณ์ เลข 1 
ในตำแหน่งที่ต้องการเลือก</t>
        </r>
      </text>
    </comment>
    <comment ref="J10" authorId="0" shapeId="0">
      <text>
        <r>
          <rPr>
            <sz val="16"/>
            <color indexed="39"/>
            <rFont val="TH SarabunPSK"/>
            <family val="2"/>
          </rPr>
          <t>ใช้สัญลักษณ์ เลข 1 
ในตำแหน่งที่ต้องการเลือก</t>
        </r>
      </text>
    </comment>
  </commentList>
</comments>
</file>

<file path=xl/sharedStrings.xml><?xml version="1.0" encoding="utf-8"?>
<sst xmlns="http://schemas.openxmlformats.org/spreadsheetml/2006/main" count="630" uniqueCount="369">
  <si>
    <t>รอบการประเมิน</t>
  </si>
  <si>
    <t>ชื่อผู้รับการประเมิน</t>
  </si>
  <si>
    <t>ข้อมูลพื้นฐานของผู้รับการประเมิน</t>
  </si>
  <si>
    <t>ตำแหน่ง</t>
  </si>
  <si>
    <t>อาจารย์</t>
  </si>
  <si>
    <t>ประธานหลักสูตร</t>
  </si>
  <si>
    <t>ตำแหน่งวิชาการ</t>
  </si>
  <si>
    <t>ตำแหน่งในสาขาวิชา</t>
  </si>
  <si>
    <t>ผู้รับผิดชอบหลักสูตร</t>
  </si>
  <si>
    <t>อาจารย์ประจำหลักสูตร</t>
  </si>
  <si>
    <t>ชื่อประธานหลักสูตร</t>
  </si>
  <si>
    <t>ชื่อคณบดี</t>
  </si>
  <si>
    <t>ผศ.ดร.ฉัตรแก้ว  เภาวิเศษ</t>
  </si>
  <si>
    <t>ป.มสด.1 - ผลสัมฤทธิ์ของงาน (70 คะแนน)</t>
  </si>
  <si>
    <t>กิจกรรม / โครงการ / งาน</t>
  </si>
  <si>
    <t>คะแนนเต็ม</t>
  </si>
  <si>
    <t>คะแนนที่ได้</t>
  </si>
  <si>
    <t>2. ผลสัมฤทธิ์ของงานตามภาระงานเพิ่มเติม</t>
  </si>
  <si>
    <t>10 คะแนน</t>
  </si>
  <si>
    <t>รวม</t>
  </si>
  <si>
    <t>คะแนน</t>
  </si>
  <si>
    <t>สมรรถนะหลัก</t>
  </si>
  <si>
    <t>สมรรถนะเฉพาะ</t>
  </si>
  <si>
    <t>1. ความเป็นส่วนดุสิต</t>
  </si>
  <si>
    <t>2. ความมุ่งมั่นสู่ความสำเร็จที่เป็นเลิศ</t>
  </si>
  <si>
    <t>3. การสั่งสมความเชี่ยวชาญในวิชาชีพ</t>
  </si>
  <si>
    <t>4. การสร้างเครือข่ายพันธมิตรและทีม</t>
  </si>
  <si>
    <t>5. การดำรงตนบนฐานของวินัย คุณธรรม จรรยาบรรณวิชาชีพ</t>
  </si>
  <si>
    <t>6. ความเข้าใจมหาวิทยาลัย</t>
  </si>
  <si>
    <t>1. ความรู้และทักษะที่จำเป็นสำหรับการปฏิบัติงานตามหน้าที่ฯ</t>
  </si>
  <si>
    <t>2. การพัฒนานวัตกรรมจากฐานความรู้</t>
  </si>
  <si>
    <t>3. การประยุกต์ใช้เทคโนโลยีในการปฏิบัติงาน</t>
  </si>
  <si>
    <t>ป.มสด.3 - สรุปผลการปฏิบัติงาน (100 คะแนน)</t>
  </si>
  <si>
    <t>ป.มสด.2 - พฤติกรรมการปฏิบัติงาน (30 คะแนน)</t>
  </si>
  <si>
    <t>องค์ประกอบการประเมิน</t>
  </si>
  <si>
    <t>รวมคะแนนที่ได้</t>
  </si>
  <si>
    <t>ระดับผลการประเมิน</t>
  </si>
  <si>
    <t>ผลสัมฤทธิ์ของงาน</t>
  </si>
  <si>
    <t>พฤติกรรมการปฏิบัติงาน</t>
  </si>
  <si>
    <t>ระดับ 5 ดีเด่น (95-100)</t>
  </si>
  <si>
    <t>ระดับ 4 ดีมาก (85-94.99)</t>
  </si>
  <si>
    <t>ระดับ 3 ดี (70-84.99)</t>
  </si>
  <si>
    <t>ระดับ 2 พอใช้ (60-69.99)</t>
  </si>
  <si>
    <t>ระดับ 1 ต้องปรับปรุง (1-59.99)</t>
  </si>
  <si>
    <t>ความคิดเห็นเพิ่มเติมของผู้ประเมิน</t>
  </si>
  <si>
    <t>ข้อเสนอแนะเกี่ยวกับแนวทางพัฒนา</t>
  </si>
  <si>
    <t>ผู้ประเมินและผู้รับการประเมินได้เห็นชอบผลการประเมินร่วมกันแล้วจึงได้ลงลายมือชื่อไว้เป็นหลักฐาน</t>
  </si>
  <si>
    <t>ลงชื่อผู้ประเมิน</t>
  </si>
  <si>
    <t>ลงชื่อผู้รับการประเมิน</t>
  </si>
  <si>
    <t>ลงชื่อพยาน</t>
  </si>
  <si>
    <t xml:space="preserve"> </t>
  </si>
  <si>
    <t xml:space="preserve"> (กรณีที่ผู้รับการประเมินไม่ยอมลงลายมือชื่อรับทราบผลการประเมิน)</t>
  </si>
  <si>
    <t>ชื่อรองคณบดี</t>
  </si>
  <si>
    <t>ปีงบประมาณ</t>
  </si>
  <si>
    <t>ชื่อผู้ประเมิน</t>
  </si>
  <si>
    <t>คณะมนุษยศาสตร์และสังคมศาสตร์  มหาวิทยาลัยสวนดุสิต</t>
  </si>
  <si>
    <t xml:space="preserve">แบบสรุปการประเมินผลการปฏิบัติงาน ปีงบประมาณ พ.ศ. </t>
  </si>
  <si>
    <t>1. งานสอน</t>
  </si>
  <si>
    <t>วิชาที่สอน</t>
  </si>
  <si>
    <t>จำนวน อ.</t>
  </si>
  <si>
    <t>จำนวน นศ.</t>
  </si>
  <si>
    <t>ภาระงาน</t>
  </si>
  <si>
    <t>ภาระงานสอน</t>
  </si>
  <si>
    <t>ชม./สัปดาห์</t>
  </si>
  <si>
    <t>ผลการพิจารณา</t>
  </si>
  <si>
    <t>มากกว่า 50 คน</t>
  </si>
  <si>
    <t>น้อยกว่า 50 คน</t>
  </si>
  <si>
    <t>น้อยกว่า 10 คน</t>
  </si>
  <si>
    <t>ค่าคะแนน</t>
  </si>
  <si>
    <t>2. งานที่ปรากฎเป็นผลงานทางวิชาการ</t>
  </si>
  <si>
    <t>แบบบันทึกผลการปฏิบัติงาน ประจำปีงบประมาณ พ.ศ.</t>
  </si>
  <si>
    <t>ลักษณะงาน</t>
  </si>
  <si>
    <t>คุณภาพของงาน</t>
  </si>
  <si>
    <t>๐ ต้องมีแผนบริหารการสอน 15 สัปดาห์</t>
  </si>
  <si>
    <t>๐ ต้องมีระบบการอ้างอิงเอกสารที่ถูกต้อง/สมบูรณ์</t>
  </si>
  <si>
    <t>๐ จัดทำเป็นรูปเล่มที่สมบูรณ์ตามที่ ม. กำหนด</t>
  </si>
  <si>
    <t>๐ มีการปรับปรุงอย่างต่อเนื่อง</t>
  </si>
  <si>
    <t>ภาระงานรวม</t>
  </si>
  <si>
    <t>ภาระงานที่ได้</t>
  </si>
  <si>
    <r>
      <rPr>
        <b/>
        <sz val="16"/>
        <color theme="1"/>
        <rFont val="TH SarabunPSK"/>
        <family val="2"/>
      </rPr>
      <t>เอกสารประกอบการสอน 6 ภาระงาน/สัปดาห์</t>
    </r>
    <r>
      <rPr>
        <sz val="16"/>
        <color theme="1"/>
        <rFont val="TH SarabunPSK"/>
        <family val="2"/>
      </rPr>
      <t xml:space="preserve"> โดย </t>
    </r>
  </si>
  <si>
    <r>
      <rPr>
        <b/>
        <sz val="16"/>
        <color theme="1"/>
        <rFont val="TH SarabunPSK"/>
        <family val="2"/>
      </rPr>
      <t>ตำรา / หนังสือ 24 ภาระงาน/สัปดาห์</t>
    </r>
    <r>
      <rPr>
        <sz val="16"/>
        <color theme="1"/>
        <rFont val="TH SarabunPSK"/>
        <family val="2"/>
      </rPr>
      <t xml:space="preserve"> โดย</t>
    </r>
  </si>
  <si>
    <t>๐ ผ่านการประเมินจากผู้ทรงคุณวุฒิ</t>
  </si>
  <si>
    <t>๐ นำสัดส่วนผู้ร่วมงานไปคำนวนภาระงานด้วย</t>
  </si>
  <si>
    <t>จากทั้งหมด</t>
  </si>
  <si>
    <t>๐ ใช้ประเมินได้ 3 ปี หลังจากตีพิมพ์ครั้งที่ 1</t>
  </si>
  <si>
    <t>ผลพิจารณา</t>
  </si>
  <si>
    <t>อยู่ระหว่างดำเนินงาน 5 ภาระงาน/สัปดาห์</t>
  </si>
  <si>
    <t>รายงานการวิจัยฉบับสมบูรณ์ 7 ภาระงาน/สัปดาห์</t>
  </si>
  <si>
    <t>สถานะ</t>
  </si>
  <si>
    <t>เสร็จสิ้น</t>
  </si>
  <si>
    <r>
      <t>%</t>
    </r>
    <r>
      <rPr>
        <b/>
        <sz val="14"/>
        <color theme="1"/>
        <rFont val="TH SarabunPSK"/>
        <family val="2"/>
      </rPr>
      <t>รับผิดชอบ</t>
    </r>
  </si>
  <si>
    <t>ยังไม่เสร็จ</t>
  </si>
  <si>
    <t>๐ ต้องมีข้อเสนอโครงการวิจัย</t>
  </si>
  <si>
    <t>๐ สัญญารับทุนอุดหนุนการวิจัย</t>
  </si>
  <si>
    <t>๐ รายงานความก้าวหน้าการวิจัย</t>
  </si>
  <si>
    <t>๐ ทุนภายใน = 8 ภาระงาน</t>
  </si>
  <si>
    <t>๐ ทุนภายใน = 10 ภาระงาน</t>
  </si>
  <si>
    <t>๐ ทุนภายนอก&lt;500,000 = 12 ภาระ</t>
  </si>
  <si>
    <t>๐ ทุนภายนอก&gt;500,000 = 14 ภาระ</t>
  </si>
  <si>
    <t>๐ ทุนภายนอก&gt;500,000 = 10 ภาระ</t>
  </si>
  <si>
    <t>๐ ทุนภายนอก&lt;500,000 = 9 ภาระ</t>
  </si>
  <si>
    <t>ลักษณะทุน</t>
  </si>
  <si>
    <t>ปี/ชื่อผลงาน</t>
  </si>
  <si>
    <t>ลักษณะทุน / สถานะ</t>
  </si>
  <si>
    <t>ภายใน/เสร็จสิ้น</t>
  </si>
  <si>
    <t>นอก&lt;500,000/ไม่เสร็จ</t>
  </si>
  <si>
    <t>นอก&lt;500,000/เสร็จสิ้น</t>
  </si>
  <si>
    <t>นอก&gt;500,000/ไม่เสร็จ</t>
  </si>
  <si>
    <t>นอก&gt;500,000/เสร็จสิ้น</t>
  </si>
  <si>
    <t>ค่าถ่วงหนัก</t>
  </si>
  <si>
    <t>ภายใน/ไม่เสร็จ</t>
  </si>
  <si>
    <t>อยู่ระหว่างดำเนินงาน (ไม่เสร็จ)</t>
  </si>
  <si>
    <t>รายงานการวิจัย (เสร็จสิ้น)</t>
  </si>
  <si>
    <t>ลักษณะการเผยแพร่</t>
  </si>
  <si>
    <t>ผู้ร่วมงาน</t>
  </si>
  <si>
    <t>จำนวนบท</t>
  </si>
  <si>
    <t>Inter/I.F.&gt;3</t>
  </si>
  <si>
    <t>Inter/I.F.1-3</t>
  </si>
  <si>
    <t>Inter/I.F.0-1</t>
  </si>
  <si>
    <t>Inter/Proceeding</t>
  </si>
  <si>
    <t>Inter/Oral</t>
  </si>
  <si>
    <t>Inter/Poster</t>
  </si>
  <si>
    <t>หลักฐาน</t>
  </si>
  <si>
    <t>๐ บทความวิจัยหรือบทความวิชาการ</t>
  </si>
  <si>
    <t>๐ หนังสือตอบรับการพิมพ์เผยแพร่</t>
  </si>
  <si>
    <t>๐ เอกสารหลักฐานข้อมูลของวารสาร</t>
  </si>
  <si>
    <t>๐ ใช้ได้เพียง 1 ครั้งเท่านั้น</t>
  </si>
  <si>
    <t>การใช้ประโยชน์</t>
  </si>
  <si>
    <t>ประโยชน์ระดับประเทศ</t>
  </si>
  <si>
    <t>ประโยชน์ระดับภูมิภาค</t>
  </si>
  <si>
    <t>ประโยชน์ระดับจังหวัด</t>
  </si>
  <si>
    <t>ประโยชน์ระดับอำเภอ</t>
  </si>
  <si>
    <t>ประโยชน์ระดับชุมชน</t>
  </si>
  <si>
    <t>อนุญาตใช้-สิทธบัตร</t>
  </si>
  <si>
    <t>อนุญาตใช้-อนุสิทธบัตร</t>
  </si>
  <si>
    <t>ผ่านรับรองสิทธิบัตร/อนุ</t>
  </si>
  <si>
    <t>ผ่านการยื่นขอจด-สิทธิบัตร</t>
  </si>
  <si>
    <t>ผ่านการยื่นขอจด-อนุสิทธิบัตร</t>
  </si>
  <si>
    <t>3. งานที่สนับสนุนการปฏิบัติงานด้านวิชาการ</t>
  </si>
  <si>
    <t>รายละเอียดของงาน</t>
  </si>
  <si>
    <t>งานบริหาร</t>
  </si>
  <si>
    <t>ที่ปรึกษา</t>
  </si>
  <si>
    <t>ผู้ประสานงานรายวิชาศึกษาทั่วไป</t>
  </si>
  <si>
    <t>คน</t>
  </si>
  <si>
    <t>ผู้สอน - นับหน่วยกิต</t>
  </si>
  <si>
    <t>ผู้สอน - นับชั่วโมง</t>
  </si>
  <si>
    <t>วิทยากร - ภายนอก</t>
  </si>
  <si>
    <t>วิทยากร - ภายใน</t>
  </si>
  <si>
    <t>กรรมการ - ระดับประเทศ</t>
  </si>
  <si>
    <t>กรรมการ - ระดับชุมชน</t>
  </si>
  <si>
    <t>กรรมการ - ภายใน</t>
  </si>
  <si>
    <t>ปริมาณงาน</t>
  </si>
  <si>
    <t>วิทยากร / ที่ปรึกษา</t>
  </si>
  <si>
    <t>No</t>
  </si>
  <si>
    <t>เกณฑ์การประเมิน</t>
  </si>
  <si>
    <t>2.1 เอกสารประกอบการเรียน หรือ ตำราที่มีการพิมพ์แก้ไขเพิ่มเติม</t>
  </si>
  <si>
    <r>
      <rPr>
        <b/>
        <sz val="16"/>
        <color theme="1"/>
        <rFont val="TH SarabunPSK"/>
        <family val="2"/>
      </rPr>
      <t>เอกสารประกอบการเรียน 3 ภาระงาน/สัปดาห์</t>
    </r>
    <r>
      <rPr>
        <sz val="16"/>
        <color theme="1"/>
        <rFont val="TH SarabunPSK"/>
        <family val="2"/>
      </rPr>
      <t xml:space="preserve"> โดย </t>
    </r>
  </si>
  <si>
    <r>
      <t xml:space="preserve">๐ </t>
    </r>
    <r>
      <rPr>
        <b/>
        <sz val="16"/>
        <color theme="1"/>
        <rFont val="TH SarabunPSK"/>
        <family val="2"/>
      </rPr>
      <t>กรณีตำรา</t>
    </r>
    <r>
      <rPr>
        <sz val="16"/>
        <color theme="1"/>
        <rFont val="TH SarabunPSK"/>
        <family val="2"/>
      </rPr>
      <t xml:space="preserve"> ใช้ประเมินได้ 3 ปี หลังจากปีที่มีการพิมพ์แก้ไขเพิ่มเติม</t>
    </r>
  </si>
  <si>
    <t>2.2 เอกสารประกอบการสอน</t>
  </si>
  <si>
    <t>๐ สอดคล้องกับรายวิชาที่สอนในรอบการประเมิน</t>
  </si>
  <si>
    <t>๐ มีเนื้อหาที่สอดคล้องต่อหลักสูตรต่างๆ ของ ม.</t>
  </si>
  <si>
    <t>๐ กรรมการบริหารหลักสูตรที่รับผิดชอบหน้าที่มากกว่า 1 อย่าง ให้ใช้คะแนนภาระงานที่มากที่สุด</t>
  </si>
  <si>
    <t>การควบคุมวิทยานิพนธ์</t>
  </si>
  <si>
    <t>ที่ปรึกษาหลัก - ป.เอก</t>
  </si>
  <si>
    <t>ค่าน้ำหนัก</t>
  </si>
  <si>
    <t>ที่ปรึกษาร่วม - ป.เอก</t>
  </si>
  <si>
    <t>ที่ปรึกษาหลัก - ป.โท</t>
  </si>
  <si>
    <t>ที่ปรึกษาร่วม - ป.โท</t>
  </si>
  <si>
    <t>กรรมการสอบหัวข้อ - ป.เอก</t>
  </si>
  <si>
    <t>กรรมการสอบหัวข้อ - ป.โท</t>
  </si>
  <si>
    <t>กรรมการสอบปิดเล่ม - ป.เอก</t>
  </si>
  <si>
    <t>กรรมการสอบปิดเล่ม - ป.โท</t>
  </si>
  <si>
    <t>ค่าเป้าหมายการประเมิน</t>
  </si>
  <si>
    <t>2.4 งานวิจัยในชั้นเรียน (วิจัยเพื่อพัฒนาการเรียนรู้)</t>
  </si>
  <si>
    <t>2.5 งานวิจัย</t>
  </si>
  <si>
    <t>2.6 บทความทางวิชาการ</t>
  </si>
  <si>
    <t>2.7 ผลงานทางวิชาการในลักษณะอื่นๆ ที่เทียบได้กับงานวิจัย (ต้องเสร็จสมบูรณ์เท่านั้น)</t>
  </si>
  <si>
    <t>คำสั่ง - ระบุวันที่</t>
  </si>
  <si>
    <t xml:space="preserve">คำสั่ง - ไม่ระบุวันที่ </t>
  </si>
  <si>
    <t>รอบที่ 1 -</t>
  </si>
  <si>
    <t xml:space="preserve">รอบที่ 2 - </t>
  </si>
  <si>
    <t>รอบที่ 1</t>
  </si>
  <si>
    <t>รอบที่ 2</t>
  </si>
  <si>
    <t>ตำแหน่งทางวิชาการ</t>
  </si>
  <si>
    <t>ผู้ช่วยศาสตราจารย์</t>
  </si>
  <si>
    <t>รองศาสตราจารย์</t>
  </si>
  <si>
    <t>ศาสตราจารย์</t>
  </si>
  <si>
    <t>ถึง  31  ธันวาคม</t>
  </si>
  <si>
    <t>ถึง  30  มิถุนายน</t>
  </si>
  <si>
    <t>ภาษาไทย</t>
  </si>
  <si>
    <t>ภาษาเพื่อการสื่อสาร</t>
  </si>
  <si>
    <t>ภาษาอังกฤษ</t>
  </si>
  <si>
    <t>ภาษาอังกฤษธุรกิจ</t>
  </si>
  <si>
    <t>ภาษาจีน</t>
  </si>
  <si>
    <t>จิตวิทยาอุตสาหกรรมและองค์การ</t>
  </si>
  <si>
    <t>คณะมนุษยศาสตร์และสังคมศาสตร์</t>
  </si>
  <si>
    <t>สังกัด</t>
  </si>
  <si>
    <t>นิติศาสตร์</t>
  </si>
  <si>
    <t>รัฐศาสตร์</t>
  </si>
  <si>
    <t>รัฐประสาสนศาสตร์</t>
  </si>
  <si>
    <t>การสอนภาษาอังกฤษ (ป.โท)</t>
  </si>
  <si>
    <t>บรรณารักษศาสตร์และสารสนเทศศาสตร์</t>
  </si>
  <si>
    <t>อนุมัติ</t>
  </si>
  <si>
    <t>ไม่อนุมัติ</t>
  </si>
  <si>
    <t>2.3 ตำรา/หนังสือ (พิมพ์ครั้งที่ 1)</t>
  </si>
  <si>
    <t>3.1 งานบริหาร</t>
  </si>
  <si>
    <t>3.2 งานฝึกประสบการณ์วิชาชีพ</t>
  </si>
  <si>
    <r>
      <t>๐ ใช้พิจารณาภาระงานการควบคุมวิทยานิพนธ์</t>
    </r>
    <r>
      <rPr>
        <b/>
        <sz val="16"/>
        <rFont val="TH SarabunPSK"/>
        <family val="2"/>
      </rPr>
      <t>ทั้งภายในและภายนอก</t>
    </r>
    <r>
      <rPr>
        <sz val="16"/>
        <rFont val="TH SarabunPSK"/>
        <family val="2"/>
      </rPr>
      <t>มหาวิทยาลัย</t>
    </r>
  </si>
  <si>
    <t>เกณฑ์การพิจารณา</t>
  </si>
  <si>
    <t xml:space="preserve">จำนวน </t>
  </si>
  <si>
    <t>3.3 วิทยากร / ที่ปรึกษา / กรรมการในงานเชิงวิชาการให้กับหน่วยงานภายในและภายนอก</t>
  </si>
  <si>
    <t>3.4 การควบคุมวิทยานิพนธ์ระดับปริญญาโท และปริญญาเอก</t>
  </si>
  <si>
    <t>5. งานตามภาระกิจที่มหาวิทยาลัยมอบหมาย</t>
  </si>
  <si>
    <t>ชาติ/TCI-1</t>
  </si>
  <si>
    <t>ชาติ/TCI-2</t>
  </si>
  <si>
    <t>ชาติ/TCI-3</t>
  </si>
  <si>
    <t>ชาติ/Proceeding</t>
  </si>
  <si>
    <t>ชาติ/Oral</t>
  </si>
  <si>
    <t>ชาติ/Poster</t>
  </si>
  <si>
    <t>1. ผลสัมฤทธิ์ของงานตามข้อบังคับฯ และภาระงาน</t>
  </si>
  <si>
    <t>องค์ประกอบที่ 1 : ผลสัมฤทธิ์ของงาน - งานสนับสนุนการปฏิบัติงาน</t>
  </si>
  <si>
    <t>องค์ประกอบที่ 1 : ผลสัมฤทธิ์ของงาน - งานวิชาการ</t>
  </si>
  <si>
    <t>องค์ประกอบที่ 1 : ผลสัมฤทธิ์ของงาน - งานสอน</t>
  </si>
  <si>
    <t>คะแนนผลสัมฤทธิ์ของงาน รวม 70 คะแนน</t>
  </si>
  <si>
    <t>Tab</t>
  </si>
  <si>
    <t>งานสอน</t>
  </si>
  <si>
    <t>งานวิชาการ</t>
  </si>
  <si>
    <t>งานสนับสนุนการปฏิบัติงาน</t>
  </si>
  <si>
    <t>E68</t>
  </si>
  <si>
    <t>E69</t>
  </si>
  <si>
    <t>E70</t>
  </si>
  <si>
    <t>E71</t>
  </si>
  <si>
    <t>E72</t>
  </si>
  <si>
    <t>E73</t>
  </si>
  <si>
    <t>E74</t>
  </si>
  <si>
    <t>E76</t>
  </si>
  <si>
    <t>E77</t>
  </si>
  <si>
    <t>E78</t>
  </si>
  <si>
    <t>E79</t>
  </si>
  <si>
    <t>E80</t>
  </si>
  <si>
    <t>E81</t>
  </si>
  <si>
    <t>E82</t>
  </si>
  <si>
    <t>E83</t>
  </si>
  <si>
    <t>E63</t>
  </si>
  <si>
    <t>E64</t>
  </si>
  <si>
    <t>E65</t>
  </si>
  <si>
    <t>E66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</si>
  <si>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</si>
  <si>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</si>
  <si>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</si>
  <si>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</si>
  <si>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</si>
  <si>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</si>
  <si>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</si>
  <si>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</si>
  <si>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</si>
  <si>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</si>
  <si>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</si>
  <si>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</si>
  <si>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</si>
  <si>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</si>
  <si>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</si>
  <si>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</si>
  <si>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</si>
  <si>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</si>
  <si>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</si>
  <si>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</si>
  <si>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</si>
  <si>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</si>
  <si>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E32</t>
  </si>
  <si>
    <t>E33</t>
  </si>
  <si>
    <t>E34</t>
  </si>
  <si>
    <t>E35</t>
  </si>
  <si>
    <t>E36</t>
  </si>
  <si>
    <t>E37</t>
  </si>
  <si>
    <t>E29</t>
  </si>
  <si>
    <t>E30</t>
  </si>
  <si>
    <t>E24</t>
  </si>
  <si>
    <t>E25</t>
  </si>
  <si>
    <t>E26</t>
  </si>
  <si>
    <t>E27</t>
  </si>
  <si>
    <t>E28</t>
  </si>
  <si>
    <t>งานตามภาระกิจของคณะ</t>
  </si>
  <si>
    <t>E85</t>
  </si>
  <si>
    <t>E86</t>
  </si>
  <si>
    <t>(ชื่อผู้ที่จะเป็นพยานการลงนาม)</t>
  </si>
  <si>
    <t>รวมภาระงานที่ทำได้ทั้งสิ้น</t>
  </si>
  <si>
    <t>๐ มี นศ. ในที่ปรึกษาการฝึกประสบการณ์ 5 คน = 1 ภาระงาน</t>
  </si>
  <si>
    <t>นำเสนอ</t>
  </si>
  <si>
    <t>เสนอ</t>
  </si>
  <si>
    <t>องค์ประกอบที่ 2 : พฤติกรรมการปฏิบัติงาน</t>
  </si>
  <si>
    <t>ประเมินตนเอง</t>
  </si>
  <si>
    <t>1. ความเป็นสวนดุสิต</t>
  </si>
  <si>
    <t>ใช่</t>
  </si>
  <si>
    <t>ไม่แน่ใจ</t>
  </si>
  <si>
    <t>ไม่ใช่</t>
  </si>
  <si>
    <t>9. การประยุกต์ใช้เทคโนโลยีในการปฎิบัติงาน</t>
  </si>
  <si>
    <t>8. การพัฒนานวัตกรรมจากฐานความรู้</t>
  </si>
  <si>
    <t>7. ความรู้และทักษะที่จำเป็นสำหรับการปฏิบัติงานตามหน้าที่รับผิดชอบ</t>
  </si>
  <si>
    <t>5. การดำรงตนบนฐานของวินัย คุณธรรมจริยธรรม และจรรยาบรรณวิชาชีพ</t>
  </si>
  <si>
    <t>4. การสร้างเครือข่ายพันธมิตรและทีมงาน</t>
  </si>
  <si>
    <t>2. ความมั่งมั่นสู่ความสำเร็จที่เป็นเลิศ</t>
  </si>
  <si>
    <t>มีบุคลิกภาพที่ดี มีระเบียบ ประพฤติตนเหมาะสม</t>
  </si>
  <si>
    <t>มีสัมมาคาราวะ และนอบน้อมถ่อมตน</t>
  </si>
  <si>
    <t>ดำรงตนอย่างมีศักดิ์ศรีและมีคุณค่าต่อสังคมทั้งในและนอกมหาวิทยาลัย</t>
  </si>
  <si>
    <t>ทำงานทุกอย่างด้วยความปราณีต มีมาตรฐาน และรู้จริงในสิ่งที่ทำ</t>
  </si>
  <si>
    <t>มีความเป็นผู้นำได้เหมาะสมในทุกสถานการณ์</t>
  </si>
  <si>
    <t>เสียสละ เอื้ออาทร ใส่ใจ และห่วงไยเพื่อนร่วมงาน</t>
  </si>
  <si>
    <t>มีความรัก ความเข้าใจ เชื่อมั่น และศรัทธาในมหาวิทยาลัย</t>
  </si>
  <si>
    <t>มีส่วนร่วมในการดำเนินงานของมหาวิทยาลัยตามภาระหน้าที่</t>
  </si>
  <si>
    <t>แสดงความเป็นสวนดุสิตให้ปรากฎต่อสาธารณะ</t>
  </si>
  <si>
    <t>กำหนดเป้าหมายผลการปฎิบัติงานไว้สูงกว่ามาตรฐานปกติ</t>
  </si>
  <si>
    <t>ตรวจสอบและประเมินผลการปฏิบัติงานอย่างต่อเนื่องเป็นระบบ</t>
  </si>
  <si>
    <t>เพิ่มระดับมาตรฐานผลการปฏิบัติงานอย่างเป็นพลวัตร</t>
  </si>
  <si>
    <t>สนใจใฝ่ศึกษาหาความรู้ และเทคโนโลยีใหม่ๆ มาใช้ในการดำเนินงานอยู่เสมอ</t>
  </si>
  <si>
    <t>ศึกษาพัฒนาตนเองให้มีความรู้และเชี่ยวชาญในวิทยาการและเทคโนโลยีต่างๆ</t>
  </si>
  <si>
    <t>สามารถประยุกต์ใช้องค์ความรู้และเทคโนโลยีใหม่ๆ ในการปฏิบัติงานในหน้าที่</t>
  </si>
  <si>
    <t xml:space="preserve">แสดงความรอบรู้ในองค์ความรู้และเทคโนโลยีใหม่ๆ </t>
  </si>
  <si>
    <t>พัฒนาตนเองให้มีความก้าวหน้า ในตำแหน่งตามสาขาวิชาชีพอย่างต่อเนื่อง</t>
  </si>
  <si>
    <t>สนับสนุนให้คนอื่นๆ ได้รับความรู้และความเชี่ยวชาญในสาขาวิชาชีพที่ตนเชี่ยวชาญ</t>
  </si>
  <si>
    <t>ประสานบุคคลหน่วยงานหรือองค์กรทั้งภายในและภายนอกมหาวิทยาลัย</t>
  </si>
  <si>
    <t>ทำงานร่วมกันในลักษณะทีมงาน มีการกำหนดเป้าหมายของทีม</t>
  </si>
  <si>
    <t>มีวินัยและรับผิดชอบตนเองให้อยู่ในกรอบของกฎหมาย และกฎระเบียบต่าง ๆ</t>
  </si>
  <si>
    <t>รักษาเกียรติและศักดิ์ศรีแห่งวิชาชีพของตน ไม่ประพฤติตนให้เป็นที่เสื่อมเสีย</t>
  </si>
  <si>
    <t>เรียนรู้และทำความเข้าใจในมหาวิทยาลัย</t>
  </si>
  <si>
    <t>เข้าใจโครงสร้างของมหาวิทยาลัย และทำงานร่วมกันกับหน่วยงานต่างๆ ได้ดี</t>
  </si>
  <si>
    <t>เรียนรู้และทำความเข้าใจกฎระเบียบต่างๆ อันจำเป็นที่แต่ละคนต้องปฏิบัติ</t>
  </si>
  <si>
    <t>ติดตามความเคลื่อนไหวในด้านต่างๆ ของมหาวิทยาลัยตลอดเวลา</t>
  </si>
  <si>
    <t>มีความรู้ ทักษะ ประสบการณ์ต่างๆ มากเพียงพอที่จะสามารถปฏิบัติภาระหน้าที่ตน</t>
  </si>
  <si>
    <t>ใช้กระบวนการจัดการความรู้ในสายวิชาชีพของตน จนเกิดองค์ความรู้</t>
  </si>
  <si>
    <t>ปฏิบัติตนเองให้สอดคล้องกับระบบเทคโนโลยีต่างๆ ของมหาวิทยาลัย</t>
  </si>
  <si>
    <t>พัฒนาระบบ หรือเครื่องมือที่เป็นสื่ออิเล็กทรอนิกส์เพื่อใช้ฏิบัติงานในหน้าที่</t>
  </si>
  <si>
    <t>ความคิดเห็น กรรมการประเมิน</t>
  </si>
  <si>
    <t>ความคิดเห็น</t>
  </si>
  <si>
    <t>เห็นด้วย</t>
  </si>
  <si>
    <t>E88</t>
  </si>
  <si>
    <t>E89</t>
  </si>
  <si>
    <t>E90</t>
  </si>
  <si>
    <t>เพิ่ม</t>
  </si>
  <si>
    <t>ลด</t>
  </si>
  <si>
    <t>ไม่มี</t>
  </si>
  <si>
    <t>มี</t>
  </si>
  <si>
    <t>HI=1</t>
  </si>
  <si>
    <t>I10=1</t>
  </si>
  <si>
    <t>J10=1</t>
  </si>
  <si>
    <t>ชั่วโมง/สัปดาห์</t>
  </si>
  <si>
    <t>ภาระงานสอน คำนวนจากตัวเลขในวงเล็บหลังจำนวนหน่วยกิต เช่น    3 (2-2-5) มีภาระงาน 9            2 (3-0-5) มีภาระงาน 8</t>
  </si>
  <si>
    <t>ดูแลนักศึกษาฝึกประสบการณ์ฯ</t>
  </si>
  <si>
    <t>คณบดี</t>
  </si>
  <si>
    <t>ความคิดเห็นคณบดี</t>
  </si>
  <si>
    <t>ภาพรวม</t>
  </si>
  <si>
    <t>องค์ประกอบที่ 1 : ผลสัมฤทธิ์ของงาน - งานตามภารกิจของคณะฯ และมหาวิทยาลัย</t>
  </si>
  <si>
    <t>4. งานตามภารกิจอื่น ๆ ที่คณะฯ มอบหมาย</t>
  </si>
  <si>
    <t>พฤติกรรมที่คาดหวัง</t>
  </si>
  <si>
    <t>1 เมษายน</t>
  </si>
  <si>
    <t>1 กรกฎาคม</t>
  </si>
  <si>
    <t>ปานกลาง</t>
  </si>
  <si>
    <t>น้อย</t>
  </si>
  <si>
    <t>มาก</t>
  </si>
  <si>
    <t>มีความรู้ ความเข้าใจในกระบวนการจัดการเรียนรู้</t>
  </si>
  <si>
    <t>มีความรู้ ความเข้าใจในกระบวนการจัดและประเมินผลการเรียนรู้</t>
  </si>
  <si>
    <t>ดำเนินการจัดทำวิจัยในชั้นเรียน</t>
  </si>
  <si>
    <t>ใช้นวัตกรรมใหม่ ๆ ต่อการเรียนรู้ของนักศึกษา</t>
  </si>
  <si>
    <t>นำองค์ความรู้ที่มีอยู่ไปสู่การปฏิบัติงานจริงจนเกิดนวัตกรรมใหม่</t>
  </si>
  <si>
    <t>สามารถสร้างความก้าวหน้าในวิชาชีพของตนเองอย่างต่อเนื่อง</t>
  </si>
  <si>
    <t>พัฒนาโดย :</t>
  </si>
  <si>
    <t>ผศ.ดร.บรรพต พิจิตรกำเนิด</t>
  </si>
  <si>
    <t>มหาวิทยาลัยสวนดุสิต</t>
  </si>
  <si>
    <t>ต้นแบบระบบประเมินการปฏิบัติงาน คณะมนุษยศาสตร์ฯ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</si>
</sst>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4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2"/>
      <color rgb="FF0070C0"/>
      <name val="TH SarabunPSK"/>
      <family val="2"/>
    </font>
    <font>
      <b/>
      <sz val="16"/>
      <color rgb="FF0070C0"/>
      <name val="TH SarabunPSK"/>
      <family val="2"/>
    </font>
    <font>
      <b/>
      <sz val="18"/>
      <color rgb="FF0070C0"/>
      <name val="TH SarabunPSK"/>
      <family val="2"/>
    </font>
    <font>
      <b/>
      <sz val="20"/>
      <color rgb="FF0070C0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theme="0" tint="-4.9989318521683403E-2"/>
      <name val="TH SarabunPSK"/>
      <family val="2"/>
    </font>
    <font>
      <b/>
      <sz val="18"/>
      <color theme="0" tint="-4.9989318521683403E-2"/>
      <name val="TH SarabunPSK"/>
      <family val="2"/>
    </font>
    <font>
      <b/>
      <sz val="16"/>
      <color theme="0" tint="-4.9989318521683403E-2"/>
      <name val="TH SarabunPSK"/>
      <family val="2"/>
    </font>
    <font>
      <b/>
      <sz val="22"/>
      <color theme="1"/>
      <name val="TH SarabunPSK"/>
      <family val="2"/>
    </font>
    <font>
      <sz val="22"/>
      <color theme="1"/>
      <name val="TH SarabunPSK"/>
      <family val="2"/>
    </font>
    <font>
      <b/>
      <sz val="24"/>
      <color theme="1"/>
      <name val="TH SarabunPSK"/>
      <family val="2"/>
    </font>
    <font>
      <sz val="24"/>
      <color theme="1"/>
      <name val="TH SarabunPSK"/>
      <family val="2"/>
    </font>
    <font>
      <sz val="22"/>
      <name val="TH SarabunPSK"/>
      <family val="2"/>
    </font>
    <font>
      <b/>
      <sz val="22"/>
      <color rgb="FFFF0000"/>
      <name val="TH SarabunPSK"/>
      <family val="2"/>
    </font>
    <font>
      <b/>
      <sz val="22"/>
      <color rgb="FF00B0F0"/>
      <name val="TH SarabunPSK"/>
      <family val="2"/>
    </font>
    <font>
      <sz val="24"/>
      <name val="TH SarabunPSK"/>
      <family val="2"/>
    </font>
    <font>
      <b/>
      <sz val="16"/>
      <color rgb="FF00B0F0"/>
      <name val="TH SarabunPSK"/>
      <family val="2"/>
    </font>
    <font>
      <b/>
      <sz val="20"/>
      <color rgb="FF00B0F0"/>
      <name val="TH SarabunPSK"/>
      <family val="2"/>
    </font>
    <font>
      <sz val="16"/>
      <color theme="0"/>
      <name val="TH SarabunPSK"/>
      <family val="2"/>
    </font>
    <font>
      <b/>
      <sz val="20"/>
      <name val="TH SarabunPSK"/>
      <family val="2"/>
    </font>
    <font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rgb="FF00B050"/>
      <name val="TH SarabunPSK"/>
      <family val="2"/>
    </font>
    <font>
      <sz val="18"/>
      <color rgb="FF00B050"/>
      <name val="TH SarabunPSK"/>
      <family val="2"/>
    </font>
    <font>
      <sz val="16"/>
      <color rgb="FF0070C0"/>
      <name val="TH SarabunPSK"/>
      <family val="2"/>
    </font>
    <font>
      <sz val="16"/>
      <color indexed="39"/>
      <name val="TH SarabunPSK"/>
      <family val="2"/>
    </font>
    <font>
      <b/>
      <sz val="20"/>
      <color theme="0"/>
      <name val="TH SarabunPSK"/>
      <family val="2"/>
    </font>
    <font>
      <sz val="48"/>
      <color theme="1"/>
      <name val="TH SarabunPSK"/>
      <family val="2"/>
    </font>
    <font>
      <sz val="16"/>
      <color theme="1"/>
      <name val="SP SUAN DUSIT"/>
    </font>
    <font>
      <b/>
      <sz val="48"/>
      <color rgb="FF0000FF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4">
    <xf numFmtId="0" fontId="0" fillId="0" borderId="0" xfId="0"/>
    <xf numFmtId="0" fontId="2" fillId="2" borderId="0" xfId="0" applyFont="1" applyFill="1"/>
    <xf numFmtId="0" fontId="5" fillId="3" borderId="1" xfId="0" applyFont="1" applyFill="1" applyBorder="1" applyAlignment="1"/>
    <xf numFmtId="0" fontId="5" fillId="3" borderId="2" xfId="0" applyFont="1" applyFill="1" applyBorder="1" applyAlignment="1"/>
    <xf numFmtId="0" fontId="5" fillId="3" borderId="1" xfId="0" applyFont="1" applyFill="1" applyBorder="1"/>
    <xf numFmtId="0" fontId="5" fillId="3" borderId="3" xfId="0" applyFont="1" applyFill="1" applyBorder="1" applyAlignment="1"/>
    <xf numFmtId="0" fontId="2" fillId="3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6" fillId="2" borderId="0" xfId="0" applyFont="1" applyFill="1"/>
    <xf numFmtId="0" fontId="5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2" fontId="2" fillId="3" borderId="27" xfId="0" applyNumberFormat="1" applyFont="1" applyFill="1" applyBorder="1" applyAlignment="1">
      <alignment horizontal="center"/>
    </xf>
    <xf numFmtId="0" fontId="3" fillId="2" borderId="0" xfId="0" applyFont="1" applyFill="1"/>
    <xf numFmtId="0" fontId="15" fillId="2" borderId="0" xfId="0" applyFont="1" applyFill="1"/>
    <xf numFmtId="0" fontId="12" fillId="2" borderId="0" xfId="0" applyFont="1" applyFill="1"/>
    <xf numFmtId="0" fontId="19" fillId="3" borderId="0" xfId="0" applyFont="1" applyFill="1" applyBorder="1"/>
    <xf numFmtId="0" fontId="18" fillId="3" borderId="0" xfId="0" applyFont="1" applyFill="1" applyBorder="1"/>
    <xf numFmtId="0" fontId="19" fillId="3" borderId="36" xfId="0" applyFont="1" applyFill="1" applyBorder="1"/>
    <xf numFmtId="0" fontId="2" fillId="2" borderId="39" xfId="0" applyFont="1" applyFill="1" applyBorder="1" applyAlignment="1"/>
    <xf numFmtId="0" fontId="1" fillId="2" borderId="36" xfId="0" applyFont="1" applyFill="1" applyBorder="1"/>
    <xf numFmtId="0" fontId="2" fillId="2" borderId="37" xfId="0" applyFont="1" applyFill="1" applyBorder="1"/>
    <xf numFmtId="0" fontId="18" fillId="2" borderId="0" xfId="0" applyFont="1" applyFill="1" applyAlignment="1">
      <alignment horizontal="left"/>
    </xf>
    <xf numFmtId="0" fontId="18" fillId="2" borderId="0" xfId="0" applyFont="1" applyFill="1" applyAlignment="1"/>
    <xf numFmtId="0" fontId="20" fillId="3" borderId="32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35" xfId="0" applyFont="1" applyFill="1" applyBorder="1" applyAlignment="1">
      <alignment horizontal="center"/>
    </xf>
    <xf numFmtId="0" fontId="23" fillId="2" borderId="36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16" fillId="2" borderId="0" xfId="0" applyFont="1" applyFill="1"/>
    <xf numFmtId="0" fontId="17" fillId="2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" fontId="2" fillId="2" borderId="0" xfId="0" applyNumberFormat="1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5" fillId="6" borderId="21" xfId="0" applyFont="1" applyFill="1" applyBorder="1" applyAlignment="1"/>
    <xf numFmtId="0" fontId="5" fillId="6" borderId="22" xfId="0" applyFont="1" applyFill="1" applyBorder="1" applyAlignment="1"/>
    <xf numFmtId="2" fontId="5" fillId="6" borderId="22" xfId="0" applyNumberFormat="1" applyFont="1" applyFill="1" applyBorder="1" applyAlignment="1">
      <alignment horizontal="center"/>
    </xf>
    <xf numFmtId="0" fontId="5" fillId="3" borderId="24" xfId="0" applyFont="1" applyFill="1" applyBorder="1"/>
    <xf numFmtId="0" fontId="12" fillId="3" borderId="38" xfId="0" applyFont="1" applyFill="1" applyBorder="1" applyAlignment="1">
      <alignment horizontal="center"/>
    </xf>
    <xf numFmtId="0" fontId="12" fillId="3" borderId="4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14" fillId="2" borderId="0" xfId="0" applyFont="1" applyFill="1"/>
    <xf numFmtId="0" fontId="12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28" fillId="2" borderId="0" xfId="0" applyFont="1" applyFill="1"/>
    <xf numFmtId="0" fontId="28" fillId="2" borderId="0" xfId="0" applyFont="1" applyFill="1" applyAlignment="1">
      <alignment horizontal="center"/>
    </xf>
    <xf numFmtId="0" fontId="11" fillId="6" borderId="2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/>
    </xf>
    <xf numFmtId="2" fontId="11" fillId="3" borderId="29" xfId="0" applyNumberFormat="1" applyFont="1" applyFill="1" applyBorder="1" applyAlignment="1">
      <alignment horizontal="center"/>
    </xf>
    <xf numFmtId="0" fontId="2" fillId="2" borderId="17" xfId="0" applyFont="1" applyFill="1" applyBorder="1" applyAlignment="1" applyProtection="1">
      <protection locked="0"/>
    </xf>
    <xf numFmtId="0" fontId="5" fillId="6" borderId="32" xfId="0" applyFont="1" applyFill="1" applyBorder="1" applyAlignment="1"/>
    <xf numFmtId="0" fontId="5" fillId="6" borderId="19" xfId="0" applyFont="1" applyFill="1" applyBorder="1" applyAlignment="1"/>
    <xf numFmtId="2" fontId="5" fillId="6" borderId="19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14" fillId="6" borderId="22" xfId="0" applyFont="1" applyFill="1" applyBorder="1" applyAlignment="1"/>
    <xf numFmtId="2" fontId="14" fillId="6" borderId="22" xfId="0" applyNumberFormat="1" applyFont="1" applyFill="1" applyBorder="1" applyAlignment="1">
      <alignment horizontal="center"/>
    </xf>
    <xf numFmtId="4" fontId="12" fillId="2" borderId="0" xfId="0" applyNumberFormat="1" applyFont="1" applyFill="1"/>
    <xf numFmtId="0" fontId="14" fillId="3" borderId="1" xfId="0" applyFont="1" applyFill="1" applyBorder="1" applyAlignment="1">
      <alignment horizontal="center"/>
    </xf>
    <xf numFmtId="0" fontId="14" fillId="3" borderId="3" xfId="0" applyFont="1" applyFill="1" applyBorder="1" applyAlignment="1"/>
    <xf numFmtId="0" fontId="14" fillId="3" borderId="24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2" borderId="3" xfId="0" applyFont="1" applyFill="1" applyBorder="1" applyAlignment="1" applyProtection="1">
      <alignment horizontal="center"/>
      <protection locked="0"/>
    </xf>
    <xf numFmtId="0" fontId="12" fillId="3" borderId="4" xfId="0" applyFont="1" applyFill="1" applyBorder="1" applyAlignment="1">
      <alignment horizontal="left"/>
    </xf>
    <xf numFmtId="2" fontId="12" fillId="3" borderId="24" xfId="0" applyNumberFormat="1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left"/>
    </xf>
    <xf numFmtId="2" fontId="12" fillId="3" borderId="27" xfId="0" applyNumberFormat="1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16" xfId="0" applyFont="1" applyFill="1" applyBorder="1" applyAlignment="1" applyProtection="1">
      <alignment horizontal="center"/>
      <protection locked="0"/>
    </xf>
    <xf numFmtId="0" fontId="14" fillId="3" borderId="11" xfId="0" applyFont="1" applyFill="1" applyBorder="1" applyAlignment="1"/>
    <xf numFmtId="0" fontId="12" fillId="2" borderId="11" xfId="0" applyFont="1" applyFill="1" applyBorder="1" applyAlignment="1" applyProtection="1">
      <alignment horizontal="center"/>
      <protection locked="0"/>
    </xf>
    <xf numFmtId="2" fontId="12" fillId="3" borderId="56" xfId="0" applyNumberFormat="1" applyFont="1" applyFill="1" applyBorder="1" applyAlignment="1">
      <alignment horizontal="center"/>
    </xf>
    <xf numFmtId="0" fontId="29" fillId="2" borderId="0" xfId="0" applyFont="1" applyFill="1" applyAlignment="1"/>
    <xf numFmtId="0" fontId="12" fillId="2" borderId="0" xfId="0" applyFont="1" applyFill="1" applyBorder="1" applyAlignment="1">
      <alignment horizontal="center"/>
    </xf>
    <xf numFmtId="0" fontId="12" fillId="2" borderId="55" xfId="0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 applyProtection="1">
      <protection locked="0"/>
    </xf>
    <xf numFmtId="0" fontId="12" fillId="2" borderId="11" xfId="0" applyFont="1" applyFill="1" applyBorder="1" applyAlignment="1" applyProtection="1">
      <protection locked="0"/>
    </xf>
    <xf numFmtId="0" fontId="12" fillId="2" borderId="17" xfId="0" applyFont="1" applyFill="1" applyBorder="1" applyAlignment="1" applyProtection="1">
      <protection locked="0"/>
    </xf>
    <xf numFmtId="0" fontId="14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protection locked="0"/>
    </xf>
    <xf numFmtId="0" fontId="12" fillId="2" borderId="0" xfId="0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2" fontId="12" fillId="2" borderId="0" xfId="0" applyNumberFormat="1" applyFont="1" applyFill="1" applyAlignment="1">
      <alignment horizontal="center"/>
    </xf>
    <xf numFmtId="0" fontId="12" fillId="2" borderId="14" xfId="0" applyFont="1" applyFill="1" applyBorder="1" applyAlignment="1" applyProtection="1">
      <alignment horizontal="center"/>
      <protection locked="0"/>
    </xf>
    <xf numFmtId="0" fontId="14" fillId="6" borderId="21" xfId="0" applyFont="1" applyFill="1" applyBorder="1" applyAlignment="1"/>
    <xf numFmtId="0" fontId="14" fillId="3" borderId="57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2" fillId="3" borderId="38" xfId="0" applyFont="1" applyFill="1" applyBorder="1" applyAlignment="1">
      <alignment horizontal="center" vertical="top" wrapText="1"/>
    </xf>
    <xf numFmtId="0" fontId="12" fillId="3" borderId="40" xfId="0" applyFont="1" applyFill="1" applyBorder="1" applyAlignment="1">
      <alignment horizontal="center" vertical="top" wrapText="1"/>
    </xf>
    <xf numFmtId="0" fontId="12" fillId="3" borderId="14" xfId="0" applyFont="1" applyFill="1" applyBorder="1" applyAlignment="1">
      <alignment horizontal="right"/>
    </xf>
    <xf numFmtId="0" fontId="12" fillId="3" borderId="15" xfId="0" applyFont="1" applyFill="1" applyBorder="1" applyAlignment="1"/>
    <xf numFmtId="0" fontId="14" fillId="3" borderId="46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horizontal="center"/>
      <protection locked="0"/>
    </xf>
    <xf numFmtId="0" fontId="5" fillId="3" borderId="32" xfId="0" applyFont="1" applyFill="1" applyBorder="1" applyAlignment="1">
      <alignment horizontal="center"/>
    </xf>
    <xf numFmtId="0" fontId="5" fillId="3" borderId="44" xfId="0" applyFont="1" applyFill="1" applyBorder="1" applyAlignment="1"/>
    <xf numFmtId="0" fontId="27" fillId="2" borderId="0" xfId="0" applyFont="1" applyFill="1" applyBorder="1" applyAlignment="1" applyProtection="1">
      <alignment horizontal="center"/>
      <protection locked="0"/>
    </xf>
    <xf numFmtId="0" fontId="18" fillId="3" borderId="0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11" fillId="7" borderId="22" xfId="0" applyNumberFormat="1" applyFont="1" applyFill="1" applyBorder="1" applyAlignment="1">
      <alignment horizontal="center"/>
    </xf>
    <xf numFmtId="2" fontId="11" fillId="8" borderId="22" xfId="0" applyNumberFormat="1" applyFont="1" applyFill="1" applyBorder="1" applyAlignment="1">
      <alignment horizontal="center"/>
    </xf>
    <xf numFmtId="0" fontId="30" fillId="2" borderId="0" xfId="0" applyFont="1" applyFill="1"/>
    <xf numFmtId="0" fontId="30" fillId="2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0" fontId="31" fillId="2" borderId="0" xfId="0" applyFont="1" applyFill="1"/>
    <xf numFmtId="0" fontId="32" fillId="2" borderId="0" xfId="0" applyFont="1" applyFill="1" applyAlignment="1">
      <alignment horizontal="center"/>
    </xf>
    <xf numFmtId="0" fontId="30" fillId="2" borderId="0" xfId="0" applyFont="1" applyFill="1" applyAlignment="1">
      <alignment horizontal="right"/>
    </xf>
    <xf numFmtId="0" fontId="31" fillId="2" borderId="0" xfId="0" applyFont="1" applyFill="1" applyAlignment="1">
      <alignment horizontal="center"/>
    </xf>
    <xf numFmtId="0" fontId="12" fillId="2" borderId="0" xfId="0" applyFont="1" applyFill="1" applyProtection="1">
      <protection hidden="1"/>
    </xf>
    <xf numFmtId="0" fontId="21" fillId="2" borderId="0" xfId="0" applyFont="1" applyFill="1"/>
    <xf numFmtId="0" fontId="25" fillId="2" borderId="0" xfId="0" applyFont="1" applyFill="1" applyProtection="1">
      <protection hidden="1"/>
    </xf>
    <xf numFmtId="0" fontId="25" fillId="2" borderId="0" xfId="0" applyFont="1" applyFill="1"/>
    <xf numFmtId="0" fontId="20" fillId="2" borderId="0" xfId="0" applyFont="1" applyFill="1" applyBorder="1" applyAlignment="1">
      <alignment horizontal="center"/>
    </xf>
    <xf numFmtId="0" fontId="19" fillId="2" borderId="0" xfId="0" applyFont="1" applyFill="1"/>
    <xf numFmtId="0" fontId="22" fillId="2" borderId="0" xfId="0" applyFont="1" applyFill="1"/>
    <xf numFmtId="0" fontId="28" fillId="2" borderId="0" xfId="0" applyFont="1" applyFill="1" applyProtection="1">
      <protection hidden="1"/>
    </xf>
    <xf numFmtId="0" fontId="2" fillId="3" borderId="0" xfId="0" applyFont="1" applyFill="1" applyBorder="1"/>
    <xf numFmtId="0" fontId="12" fillId="4" borderId="17" xfId="0" applyFont="1" applyFill="1" applyBorder="1" applyAlignment="1" applyProtection="1">
      <alignment horizontal="center"/>
      <protection locked="0"/>
    </xf>
    <xf numFmtId="0" fontId="12" fillId="4" borderId="11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/>
      <protection locked="0"/>
    </xf>
    <xf numFmtId="0" fontId="12" fillId="4" borderId="55" xfId="0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2" fillId="4" borderId="16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13" fillId="2" borderId="17" xfId="0" applyNumberFormat="1" applyFont="1" applyFill="1" applyBorder="1" applyAlignment="1"/>
    <xf numFmtId="2" fontId="2" fillId="2" borderId="6" xfId="0" applyNumberFormat="1" applyFont="1" applyFill="1" applyBorder="1" applyAlignment="1"/>
    <xf numFmtId="1" fontId="12" fillId="2" borderId="39" xfId="0" applyNumberFormat="1" applyFont="1" applyFill="1" applyBorder="1" applyAlignment="1">
      <alignment horizontal="center"/>
    </xf>
    <xf numFmtId="1" fontId="28" fillId="2" borderId="0" xfId="0" applyNumberFormat="1" applyFont="1" applyFill="1" applyAlignment="1">
      <alignment horizontal="center"/>
    </xf>
    <xf numFmtId="3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2" borderId="38" xfId="0" applyFont="1" applyFill="1" applyBorder="1" applyAlignment="1" applyProtection="1">
      <alignment horizontal="center"/>
      <protection locked="0"/>
    </xf>
    <xf numFmtId="0" fontId="12" fillId="2" borderId="40" xfId="0" applyFont="1" applyFill="1" applyBorder="1" applyAlignment="1" applyProtection="1">
      <alignment horizontal="center"/>
      <protection locked="0"/>
    </xf>
    <xf numFmtId="0" fontId="34" fillId="2" borderId="0" xfId="0" applyFont="1" applyFill="1"/>
    <xf numFmtId="2" fontId="28" fillId="2" borderId="0" xfId="0" applyNumberFormat="1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0" fontId="35" fillId="2" borderId="0" xfId="0" applyFont="1" applyFill="1"/>
    <xf numFmtId="0" fontId="35" fillId="2" borderId="0" xfId="0" applyFont="1" applyFill="1" applyProtection="1">
      <protection hidden="1"/>
    </xf>
    <xf numFmtId="0" fontId="28" fillId="2" borderId="0" xfId="0" applyFont="1" applyFill="1" applyAlignment="1" applyProtection="1">
      <alignment horizontal="left" vertical="center"/>
      <protection hidden="1"/>
    </xf>
    <xf numFmtId="0" fontId="28" fillId="2" borderId="0" xfId="0" applyFont="1" applyFill="1" applyAlignment="1">
      <alignment horizontal="left"/>
    </xf>
    <xf numFmtId="0" fontId="28" fillId="2" borderId="0" xfId="0" applyFont="1" applyFill="1" applyAlignment="1">
      <alignment horizontal="right"/>
    </xf>
    <xf numFmtId="2" fontId="10" fillId="2" borderId="16" xfId="0" applyNumberFormat="1" applyFont="1" applyFill="1" applyBorder="1" applyAlignment="1">
      <alignment horizontal="center"/>
    </xf>
    <xf numFmtId="187" fontId="6" fillId="2" borderId="1" xfId="0" applyNumberFormat="1" applyFont="1" applyFill="1" applyBorder="1" applyAlignment="1">
      <alignment horizontal="center"/>
    </xf>
    <xf numFmtId="187" fontId="6" fillId="2" borderId="24" xfId="0" applyNumberFormat="1" applyFont="1" applyFill="1" applyBorder="1" applyAlignment="1">
      <alignment horizontal="center"/>
    </xf>
    <xf numFmtId="2" fontId="9" fillId="2" borderId="24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0" fontId="2" fillId="3" borderId="38" xfId="0" applyFont="1" applyFill="1" applyBorder="1" applyAlignment="1" applyProtection="1">
      <alignment horizontal="center"/>
    </xf>
    <xf numFmtId="0" fontId="2" fillId="3" borderId="40" xfId="0" applyFont="1" applyFill="1" applyBorder="1" applyAlignment="1" applyProtection="1">
      <alignment horizontal="center"/>
    </xf>
    <xf numFmtId="2" fontId="12" fillId="2" borderId="5" xfId="0" applyNumberFormat="1" applyFont="1" applyFill="1" applyBorder="1" applyAlignment="1">
      <alignment horizontal="center"/>
    </xf>
    <xf numFmtId="2" fontId="36" fillId="2" borderId="18" xfId="0" applyNumberFormat="1" applyFont="1" applyFill="1" applyBorder="1" applyAlignment="1">
      <alignment horizontal="center"/>
    </xf>
    <xf numFmtId="0" fontId="37" fillId="2" borderId="4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5" fillId="2" borderId="3" xfId="0" applyFont="1" applyFill="1" applyBorder="1" applyAlignment="1"/>
    <xf numFmtId="0" fontId="35" fillId="2" borderId="39" xfId="0" applyFont="1" applyFill="1" applyBorder="1" applyAlignment="1">
      <alignment horizontal="center"/>
    </xf>
    <xf numFmtId="1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right"/>
    </xf>
    <xf numFmtId="0" fontId="12" fillId="2" borderId="18" xfId="0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3" fillId="7" borderId="32" xfId="0" applyFont="1" applyFill="1" applyBorder="1" applyAlignment="1"/>
    <xf numFmtId="0" fontId="3" fillId="7" borderId="19" xfId="0" applyFont="1" applyFill="1" applyBorder="1" applyAlignment="1"/>
    <xf numFmtId="0" fontId="5" fillId="6" borderId="30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right"/>
    </xf>
    <xf numFmtId="2" fontId="5" fillId="6" borderId="29" xfId="0" applyNumberFormat="1" applyFont="1" applyFill="1" applyBorder="1" applyAlignment="1">
      <alignment horizontal="center"/>
    </xf>
    <xf numFmtId="0" fontId="12" fillId="2" borderId="46" xfId="0" applyFont="1" applyFill="1" applyBorder="1" applyAlignment="1" applyProtection="1">
      <alignment horizontal="center"/>
      <protection locked="0"/>
    </xf>
    <xf numFmtId="0" fontId="12" fillId="2" borderId="47" xfId="0" applyFont="1" applyFill="1" applyBorder="1" applyAlignment="1" applyProtection="1">
      <alignment horizontal="center"/>
      <protection locked="0"/>
    </xf>
    <xf numFmtId="2" fontId="3" fillId="7" borderId="29" xfId="0" applyNumberFormat="1" applyFont="1" applyFill="1" applyBorder="1" applyAlignment="1">
      <alignment horizontal="center"/>
    </xf>
    <xf numFmtId="2" fontId="10" fillId="7" borderId="19" xfId="0" applyNumberFormat="1" applyFont="1" applyFill="1" applyBorder="1" applyAlignment="1">
      <alignment horizontal="center"/>
    </xf>
    <xf numFmtId="0" fontId="10" fillId="7" borderId="35" xfId="0" applyFont="1" applyFill="1" applyBorder="1" applyAlignment="1"/>
    <xf numFmtId="2" fontId="9" fillId="4" borderId="29" xfId="0" applyNumberFormat="1" applyFont="1" applyFill="1" applyBorder="1" applyAlignment="1">
      <alignment horizontal="center"/>
    </xf>
    <xf numFmtId="0" fontId="9" fillId="4" borderId="30" xfId="0" applyFont="1" applyFill="1" applyBorder="1" applyAlignment="1"/>
    <xf numFmtId="0" fontId="12" fillId="3" borderId="24" xfId="0" applyFont="1" applyFill="1" applyBorder="1" applyAlignment="1" applyProtection="1">
      <alignment horizontal="center"/>
    </xf>
    <xf numFmtId="0" fontId="12" fillId="3" borderId="31" xfId="0" applyFont="1" applyFill="1" applyBorder="1" applyAlignment="1" applyProtection="1">
      <alignment horizontal="center"/>
    </xf>
    <xf numFmtId="0" fontId="38" fillId="3" borderId="24" xfId="0" applyFont="1" applyFill="1" applyBorder="1" applyAlignment="1">
      <alignment horizontal="center"/>
    </xf>
    <xf numFmtId="0" fontId="38" fillId="3" borderId="27" xfId="0" applyFont="1" applyFill="1" applyBorder="1" applyAlignment="1">
      <alignment horizontal="center"/>
    </xf>
    <xf numFmtId="0" fontId="12" fillId="3" borderId="27" xfId="0" applyFont="1" applyFill="1" applyBorder="1" applyAlignment="1" applyProtection="1">
      <alignment horizontal="center"/>
    </xf>
    <xf numFmtId="0" fontId="30" fillId="2" borderId="0" xfId="0" applyFont="1" applyFill="1" applyProtection="1">
      <protection hidden="1"/>
    </xf>
    <xf numFmtId="0" fontId="18" fillId="3" borderId="26" xfId="0" applyFont="1" applyFill="1" applyBorder="1" applyAlignment="1" applyProtection="1">
      <alignment horizontal="right"/>
    </xf>
    <xf numFmtId="0" fontId="18" fillId="3" borderId="14" xfId="0" applyFont="1" applyFill="1" applyBorder="1" applyAlignment="1" applyProtection="1">
      <alignment horizontal="right"/>
    </xf>
    <xf numFmtId="0" fontId="27" fillId="3" borderId="14" xfId="0" applyFont="1" applyFill="1" applyBorder="1" applyAlignment="1" applyProtection="1">
      <alignment horizontal="center" vertical="center"/>
    </xf>
    <xf numFmtId="0" fontId="18" fillId="3" borderId="14" xfId="0" applyFont="1" applyFill="1" applyBorder="1" applyProtection="1"/>
    <xf numFmtId="0" fontId="27" fillId="3" borderId="14" xfId="0" applyFont="1" applyFill="1" applyBorder="1" applyAlignment="1" applyProtection="1">
      <alignment horizontal="center"/>
    </xf>
    <xf numFmtId="0" fontId="19" fillId="3" borderId="14" xfId="0" applyFont="1" applyFill="1" applyBorder="1" applyProtection="1"/>
    <xf numFmtId="0" fontId="19" fillId="3" borderId="37" xfId="0" applyFont="1" applyFill="1" applyBorder="1" applyProtection="1"/>
    <xf numFmtId="0" fontId="5" fillId="2" borderId="0" xfId="0" applyFont="1" applyFill="1" applyAlignment="1">
      <alignment horizontal="center"/>
    </xf>
    <xf numFmtId="0" fontId="32" fillId="2" borderId="0" xfId="0" applyFont="1" applyFill="1" applyAlignment="1">
      <alignment horizontal="left"/>
    </xf>
    <xf numFmtId="0" fontId="2" fillId="3" borderId="46" xfId="0" applyFont="1" applyFill="1" applyBorder="1" applyAlignment="1" applyProtection="1">
      <alignment horizontal="center"/>
    </xf>
    <xf numFmtId="0" fontId="5" fillId="3" borderId="40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8" fillId="3" borderId="34" xfId="0" applyFont="1" applyFill="1" applyBorder="1" applyAlignment="1">
      <alignment horizontal="center"/>
    </xf>
    <xf numFmtId="0" fontId="38" fillId="3" borderId="63" xfId="0" applyFont="1" applyFill="1" applyBorder="1" applyAlignment="1">
      <alignment horizontal="center"/>
    </xf>
    <xf numFmtId="0" fontId="38" fillId="3" borderId="31" xfId="0" applyFont="1" applyFill="1" applyBorder="1" applyAlignment="1">
      <alignment horizontal="center"/>
    </xf>
    <xf numFmtId="0" fontId="2" fillId="3" borderId="57" xfId="0" applyFont="1" applyFill="1" applyBorder="1" applyAlignment="1" applyProtection="1">
      <alignment horizontal="center"/>
    </xf>
    <xf numFmtId="0" fontId="9" fillId="4" borderId="37" xfId="0" applyFont="1" applyFill="1" applyBorder="1" applyAlignment="1"/>
    <xf numFmtId="0" fontId="38" fillId="3" borderId="1" xfId="0" applyFont="1" applyFill="1" applyBorder="1" applyAlignment="1">
      <alignment horizontal="center"/>
    </xf>
    <xf numFmtId="0" fontId="2" fillId="3" borderId="64" xfId="0" applyFont="1" applyFill="1" applyBorder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40" fillId="2" borderId="0" xfId="0" applyFont="1" applyFill="1" applyBorder="1" applyAlignment="1">
      <alignment horizontal="center"/>
    </xf>
    <xf numFmtId="0" fontId="34" fillId="2" borderId="0" xfId="0" applyFont="1" applyFill="1" applyBorder="1" applyAlignment="1"/>
    <xf numFmtId="0" fontId="34" fillId="2" borderId="0" xfId="0" applyFont="1" applyFill="1" applyAlignment="1">
      <alignment horizontal="center"/>
    </xf>
    <xf numFmtId="0" fontId="35" fillId="2" borderId="0" xfId="0" applyFont="1" applyFill="1" applyBorder="1" applyAlignment="1">
      <alignment horizontal="left"/>
    </xf>
    <xf numFmtId="0" fontId="35" fillId="2" borderId="0" xfId="0" applyFont="1" applyFill="1" applyBorder="1" applyAlignment="1">
      <alignment horizontal="center" vertical="center"/>
    </xf>
    <xf numFmtId="2" fontId="35" fillId="2" borderId="0" xfId="0" applyNumberFormat="1" applyFont="1" applyFill="1" applyAlignment="1">
      <alignment horizontal="center"/>
    </xf>
    <xf numFmtId="0" fontId="28" fillId="2" borderId="0" xfId="0" applyFont="1" applyFill="1" applyBorder="1" applyAlignment="1">
      <alignment horizontal="center"/>
    </xf>
    <xf numFmtId="187" fontId="28" fillId="2" borderId="0" xfId="0" applyNumberFormat="1" applyFont="1" applyFill="1" applyAlignment="1">
      <alignment horizontal="center"/>
    </xf>
    <xf numFmtId="0" fontId="28" fillId="2" borderId="0" xfId="0" applyFont="1" applyFill="1" applyBorder="1"/>
    <xf numFmtId="0" fontId="38" fillId="3" borderId="5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2" fillId="3" borderId="56" xfId="0" applyFont="1" applyFill="1" applyBorder="1" applyAlignment="1" applyProtection="1">
      <alignment horizontal="center"/>
    </xf>
    <xf numFmtId="0" fontId="38" fillId="3" borderId="56" xfId="0" applyFont="1" applyFill="1" applyBorder="1" applyAlignment="1">
      <alignment horizontal="center"/>
    </xf>
    <xf numFmtId="0" fontId="12" fillId="2" borderId="57" xfId="0" applyFont="1" applyFill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41" fillId="2" borderId="0" xfId="0" applyFont="1" applyFill="1"/>
    <xf numFmtId="0" fontId="42" fillId="2" borderId="0" xfId="0" applyFont="1" applyFill="1"/>
    <xf numFmtId="0" fontId="43" fillId="2" borderId="0" xfId="0" applyFont="1" applyFill="1" applyAlignment="1">
      <alignment horizontal="center"/>
    </xf>
    <xf numFmtId="0" fontId="27" fillId="2" borderId="0" xfId="0" applyFont="1" applyFill="1" applyBorder="1" applyAlignment="1" applyProtection="1">
      <alignment horizontal="center"/>
      <protection locked="0"/>
    </xf>
    <xf numFmtId="0" fontId="20" fillId="10" borderId="28" xfId="0" applyFont="1" applyFill="1" applyBorder="1" applyAlignment="1">
      <alignment horizontal="center"/>
    </xf>
    <xf numFmtId="0" fontId="20" fillId="10" borderId="29" xfId="0" applyFont="1" applyFill="1" applyBorder="1" applyAlignment="1">
      <alignment horizontal="center"/>
    </xf>
    <xf numFmtId="0" fontId="20" fillId="10" borderId="30" xfId="0" applyFont="1" applyFill="1" applyBorder="1" applyAlignment="1">
      <alignment horizontal="center"/>
    </xf>
    <xf numFmtId="0" fontId="27" fillId="2" borderId="0" xfId="0" applyNumberFormat="1" applyFont="1" applyFill="1" applyBorder="1" applyAlignment="1" applyProtection="1">
      <alignment horizontal="center"/>
      <protection locked="0"/>
    </xf>
    <xf numFmtId="0" fontId="27" fillId="2" borderId="36" xfId="0" applyFont="1" applyFill="1" applyBorder="1" applyAlignment="1" applyProtection="1">
      <alignment horizontal="center"/>
      <protection locked="0"/>
    </xf>
    <xf numFmtId="0" fontId="27" fillId="2" borderId="0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/>
    </xf>
    <xf numFmtId="0" fontId="18" fillId="3" borderId="25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26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3" fillId="6" borderId="22" xfId="0" applyFont="1" applyFill="1" applyBorder="1" applyAlignment="1">
      <alignment horizontal="left"/>
    </xf>
    <xf numFmtId="0" fontId="3" fillId="6" borderId="23" xfId="0" applyFont="1" applyFill="1" applyBorder="1" applyAlignment="1">
      <alignment horizontal="left"/>
    </xf>
    <xf numFmtId="0" fontId="3" fillId="6" borderId="21" xfId="0" applyFont="1" applyFill="1" applyBorder="1" applyAlignment="1">
      <alignment horizontal="left"/>
    </xf>
    <xf numFmtId="0" fontId="3" fillId="6" borderId="22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2" borderId="18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43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9" borderId="49" xfId="0" applyFont="1" applyFill="1" applyBorder="1" applyAlignment="1">
      <alignment horizontal="center"/>
    </xf>
    <xf numFmtId="0" fontId="4" fillId="9" borderId="50" xfId="0" applyFont="1" applyFill="1" applyBorder="1" applyAlignment="1">
      <alignment horizontal="center"/>
    </xf>
    <xf numFmtId="0" fontId="4" fillId="9" borderId="51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59" fontId="2" fillId="3" borderId="8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3" borderId="4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59" fontId="2" fillId="3" borderId="0" xfId="0" applyNumberFormat="1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59" fontId="2" fillId="3" borderId="9" xfId="0" applyNumberFormat="1" applyFont="1" applyFill="1" applyBorder="1" applyAlignment="1">
      <alignment horizontal="left"/>
    </xf>
    <xf numFmtId="0" fontId="5" fillId="6" borderId="22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left"/>
    </xf>
    <xf numFmtId="0" fontId="5" fillId="6" borderId="23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4" fillId="9" borderId="28" xfId="0" applyFont="1" applyFill="1" applyBorder="1" applyAlignment="1">
      <alignment horizontal="center"/>
    </xf>
    <xf numFmtId="0" fontId="4" fillId="9" borderId="29" xfId="0" applyFont="1" applyFill="1" applyBorder="1" applyAlignment="1">
      <alignment horizontal="center"/>
    </xf>
    <xf numFmtId="0" fontId="4" fillId="9" borderId="30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left"/>
    </xf>
    <xf numFmtId="0" fontId="5" fillId="3" borderId="4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left" vertical="top"/>
    </xf>
    <xf numFmtId="0" fontId="2" fillId="3" borderId="1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/>
    </xf>
    <xf numFmtId="59" fontId="5" fillId="3" borderId="0" xfId="0" applyNumberFormat="1" applyFont="1" applyFill="1" applyBorder="1" applyAlignment="1">
      <alignment horizontal="left"/>
    </xf>
    <xf numFmtId="59" fontId="5" fillId="3" borderId="9" xfId="0" applyNumberFormat="1" applyFont="1" applyFill="1" applyBorder="1" applyAlignment="1">
      <alignment horizontal="left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5" fillId="6" borderId="19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left"/>
    </xf>
    <xf numFmtId="0" fontId="5" fillId="6" borderId="35" xfId="0" applyFont="1" applyFill="1" applyBorder="1" applyAlignment="1">
      <alignment horizontal="left"/>
    </xf>
    <xf numFmtId="0" fontId="12" fillId="2" borderId="1" xfId="0" applyFont="1" applyFill="1" applyBorder="1" applyAlignment="1" applyProtection="1">
      <alignment horizontal="left"/>
      <protection locked="0"/>
    </xf>
    <xf numFmtId="0" fontId="12" fillId="2" borderId="16" xfId="0" applyFont="1" applyFill="1" applyBorder="1" applyAlignment="1" applyProtection="1">
      <alignment horizontal="left"/>
      <protection locked="0"/>
    </xf>
    <xf numFmtId="0" fontId="14" fillId="6" borderId="21" xfId="0" applyFont="1" applyFill="1" applyBorder="1" applyAlignment="1">
      <alignment horizontal="left"/>
    </xf>
    <xf numFmtId="0" fontId="14" fillId="6" borderId="22" xfId="0" applyFont="1" applyFill="1" applyBorder="1" applyAlignment="1">
      <alignment horizontal="left"/>
    </xf>
    <xf numFmtId="0" fontId="14" fillId="6" borderId="22" xfId="0" applyFont="1" applyFill="1" applyBorder="1" applyAlignment="1">
      <alignment horizontal="center"/>
    </xf>
    <xf numFmtId="0" fontId="14" fillId="6" borderId="23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6" borderId="22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/>
    </xf>
    <xf numFmtId="0" fontId="12" fillId="3" borderId="46" xfId="0" applyFont="1" applyFill="1" applyBorder="1" applyAlignment="1">
      <alignment horizontal="center" vertical="top"/>
    </xf>
    <xf numFmtId="0" fontId="12" fillId="3" borderId="52" xfId="0" applyFont="1" applyFill="1" applyBorder="1" applyAlignment="1">
      <alignment horizontal="center" vertical="top"/>
    </xf>
    <xf numFmtId="0" fontId="12" fillId="2" borderId="5" xfId="0" applyFont="1" applyFill="1" applyBorder="1" applyAlignment="1" applyProtection="1">
      <alignment horizontal="center" vertical="top"/>
      <protection locked="0"/>
    </xf>
    <xf numFmtId="0" fontId="12" fillId="2" borderId="6" xfId="0" applyFont="1" applyFill="1" applyBorder="1" applyAlignment="1" applyProtection="1">
      <alignment horizontal="center" vertical="top"/>
      <protection locked="0"/>
    </xf>
    <xf numFmtId="0" fontId="12" fillId="2" borderId="7" xfId="0" applyFont="1" applyFill="1" applyBorder="1" applyAlignment="1" applyProtection="1">
      <alignment horizontal="center" vertical="top"/>
      <protection locked="0"/>
    </xf>
    <xf numFmtId="0" fontId="12" fillId="2" borderId="43" xfId="0" applyFont="1" applyFill="1" applyBorder="1" applyAlignment="1" applyProtection="1">
      <alignment horizontal="center" vertical="top"/>
      <protection locked="0"/>
    </xf>
    <xf numFmtId="0" fontId="12" fillId="2" borderId="14" xfId="0" applyFont="1" applyFill="1" applyBorder="1" applyAlignment="1" applyProtection="1">
      <alignment horizontal="center" vertical="top"/>
      <protection locked="0"/>
    </xf>
    <xf numFmtId="0" fontId="12" fillId="2" borderId="15" xfId="0" applyFont="1" applyFill="1" applyBorder="1" applyAlignment="1" applyProtection="1">
      <alignment horizontal="center" vertical="top"/>
      <protection locked="0"/>
    </xf>
    <xf numFmtId="0" fontId="12" fillId="3" borderId="18" xfId="0" applyFont="1" applyFill="1" applyBorder="1" applyAlignment="1">
      <alignment horizontal="left" vertical="top" wrapText="1"/>
    </xf>
    <xf numFmtId="0" fontId="12" fillId="3" borderId="17" xfId="0" applyFont="1" applyFill="1" applyBorder="1" applyAlignment="1">
      <alignment horizontal="left" vertical="top" wrapText="1"/>
    </xf>
    <xf numFmtId="0" fontId="12" fillId="3" borderId="13" xfId="0" applyFont="1" applyFill="1" applyBorder="1" applyAlignment="1">
      <alignment horizontal="left" vertical="top" wrapText="1"/>
    </xf>
    <xf numFmtId="0" fontId="29" fillId="2" borderId="0" xfId="0" applyFont="1" applyFill="1" applyAlignment="1">
      <alignment horizontal="right"/>
    </xf>
    <xf numFmtId="0" fontId="29" fillId="2" borderId="0" xfId="0" applyFont="1" applyFill="1" applyAlignment="1">
      <alignment horizontal="left"/>
    </xf>
    <xf numFmtId="0" fontId="12" fillId="3" borderId="55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6" xfId="0" applyFont="1" applyFill="1" applyBorder="1" applyAlignment="1">
      <alignment horizontal="left" vertical="top" wrapText="1"/>
    </xf>
    <xf numFmtId="0" fontId="14" fillId="3" borderId="1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29" fillId="2" borderId="0" xfId="0" applyFont="1" applyFill="1" applyAlignment="1">
      <alignment horizontal="center" vertical="center"/>
    </xf>
    <xf numFmtId="0" fontId="29" fillId="9" borderId="28" xfId="0" applyFont="1" applyFill="1" applyBorder="1" applyAlignment="1">
      <alignment horizontal="center"/>
    </xf>
    <xf numFmtId="0" fontId="29" fillId="9" borderId="29" xfId="0" applyFont="1" applyFill="1" applyBorder="1" applyAlignment="1">
      <alignment horizontal="center"/>
    </xf>
    <xf numFmtId="0" fontId="29" fillId="9" borderId="30" xfId="0" applyFont="1" applyFill="1" applyBorder="1" applyAlignment="1">
      <alignment horizontal="center"/>
    </xf>
    <xf numFmtId="0" fontId="29" fillId="3" borderId="29" xfId="0" applyFont="1" applyFill="1" applyBorder="1" applyAlignment="1">
      <alignment horizontal="left"/>
    </xf>
    <xf numFmtId="0" fontId="29" fillId="3" borderId="30" xfId="0" applyFont="1" applyFill="1" applyBorder="1" applyAlignment="1">
      <alignment horizontal="left"/>
    </xf>
    <xf numFmtId="0" fontId="29" fillId="3" borderId="29" xfId="0" applyFont="1" applyFill="1" applyBorder="1" applyAlignment="1">
      <alignment horizontal="right"/>
    </xf>
    <xf numFmtId="0" fontId="29" fillId="3" borderId="28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2" fillId="3" borderId="43" xfId="0" applyFont="1" applyFill="1" applyBorder="1" applyAlignment="1">
      <alignment horizontal="left" vertical="top" wrapText="1"/>
    </xf>
    <xf numFmtId="0" fontId="12" fillId="3" borderId="14" xfId="0" applyFont="1" applyFill="1" applyBorder="1" applyAlignment="1">
      <alignment horizontal="left" vertical="top" wrapText="1"/>
    </xf>
    <xf numFmtId="0" fontId="12" fillId="3" borderId="15" xfId="0" applyFont="1" applyFill="1" applyBorder="1" applyAlignment="1">
      <alignment horizontal="left" vertical="top" wrapText="1"/>
    </xf>
    <xf numFmtId="4" fontId="12" fillId="3" borderId="31" xfId="0" applyNumberFormat="1" applyFont="1" applyFill="1" applyBorder="1" applyAlignment="1">
      <alignment horizontal="center" vertical="top"/>
    </xf>
    <xf numFmtId="4" fontId="12" fillId="3" borderId="53" xfId="0" applyNumberFormat="1" applyFont="1" applyFill="1" applyBorder="1" applyAlignment="1">
      <alignment horizontal="center" vertical="top"/>
    </xf>
    <xf numFmtId="0" fontId="12" fillId="4" borderId="47" xfId="0" applyFont="1" applyFill="1" applyBorder="1" applyAlignment="1" applyProtection="1">
      <alignment horizontal="center" vertical="top"/>
      <protection locked="0"/>
    </xf>
    <xf numFmtId="0" fontId="12" fillId="4" borderId="54" xfId="0" applyFont="1" applyFill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5" fillId="2" borderId="16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>
      <alignment horizontal="left"/>
    </xf>
    <xf numFmtId="0" fontId="3" fillId="8" borderId="21" xfId="0" applyFont="1" applyFill="1" applyBorder="1" applyAlignment="1">
      <alignment horizontal="left"/>
    </xf>
    <xf numFmtId="0" fontId="3" fillId="8" borderId="22" xfId="0" applyFont="1" applyFill="1" applyBorder="1" applyAlignment="1">
      <alignment horizontal="left"/>
    </xf>
    <xf numFmtId="0" fontId="3" fillId="8" borderId="22" xfId="0" applyFont="1" applyFill="1" applyBorder="1" applyAlignment="1">
      <alignment horizontal="right"/>
    </xf>
    <xf numFmtId="0" fontId="3" fillId="8" borderId="23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left"/>
    </xf>
    <xf numFmtId="0" fontId="3" fillId="7" borderId="22" xfId="0" applyFont="1" applyFill="1" applyBorder="1" applyAlignment="1">
      <alignment horizontal="left"/>
    </xf>
    <xf numFmtId="0" fontId="3" fillId="7" borderId="22" xfId="0" applyFont="1" applyFill="1" applyBorder="1" applyAlignment="1">
      <alignment horizontal="right"/>
    </xf>
    <xf numFmtId="0" fontId="3" fillId="7" borderId="23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65" xfId="0" applyFont="1" applyFill="1" applyBorder="1" applyAlignment="1">
      <alignment horizontal="left" vertical="center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3" borderId="47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55" xfId="0" applyFont="1" applyFill="1" applyBorder="1" applyAlignment="1" applyProtection="1">
      <alignment horizontal="left" vertical="top" wrapText="1"/>
    </xf>
    <xf numFmtId="0" fontId="2" fillId="3" borderId="56" xfId="0" applyFont="1" applyFill="1" applyBorder="1" applyAlignment="1" applyProtection="1">
      <alignment horizontal="left" vertical="top" wrapText="1"/>
    </xf>
    <xf numFmtId="0" fontId="5" fillId="3" borderId="6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2" borderId="55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16" xfId="0" applyFont="1" applyFill="1" applyBorder="1" applyAlignment="1" applyProtection="1">
      <alignment horizontal="left" vertical="top" wrapText="1"/>
    </xf>
    <xf numFmtId="0" fontId="2" fillId="2" borderId="18" xfId="0" applyFont="1" applyFill="1" applyBorder="1" applyAlignment="1" applyProtection="1">
      <alignment horizontal="left" vertical="top" wrapText="1"/>
    </xf>
    <xf numFmtId="187" fontId="9" fillId="4" borderId="28" xfId="0" applyNumberFormat="1" applyFont="1" applyFill="1" applyBorder="1" applyAlignment="1">
      <alignment horizontal="center"/>
    </xf>
    <xf numFmtId="187" fontId="9" fillId="4" borderId="29" xfId="0" applyNumberFormat="1" applyFont="1" applyFill="1" applyBorder="1" applyAlignment="1">
      <alignment horizontal="center"/>
    </xf>
    <xf numFmtId="0" fontId="5" fillId="3" borderId="62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</xf>
    <xf numFmtId="0" fontId="12" fillId="3" borderId="16" xfId="0" applyFont="1" applyFill="1" applyBorder="1" applyAlignment="1" applyProtection="1">
      <alignment horizontal="left"/>
    </xf>
    <xf numFmtId="0" fontId="12" fillId="3" borderId="18" xfId="0" applyFont="1" applyFill="1" applyBorder="1" applyAlignment="1" applyProtection="1">
      <alignment horizontal="left"/>
    </xf>
    <xf numFmtId="0" fontId="5" fillId="3" borderId="4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/>
    </xf>
    <xf numFmtId="0" fontId="9" fillId="3" borderId="62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left" vertical="top" wrapText="1"/>
    </xf>
    <xf numFmtId="0" fontId="2" fillId="3" borderId="27" xfId="0" applyFont="1" applyFill="1" applyBorder="1" applyAlignment="1" applyProtection="1">
      <alignment horizontal="left" vertical="top" wrapText="1"/>
    </xf>
    <xf numFmtId="0" fontId="5" fillId="6" borderId="32" xfId="0" applyFont="1" applyFill="1" applyBorder="1" applyAlignment="1">
      <alignment horizontal="left"/>
    </xf>
    <xf numFmtId="0" fontId="5" fillId="3" borderId="35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2" fillId="3" borderId="18" xfId="0" applyFont="1" applyFill="1" applyBorder="1" applyAlignment="1" applyProtection="1">
      <alignment horizontal="left" vertical="top" wrapText="1"/>
    </xf>
    <xf numFmtId="0" fontId="9" fillId="3" borderId="5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left"/>
    </xf>
    <xf numFmtId="0" fontId="5" fillId="3" borderId="6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63" xfId="0" applyFont="1" applyFill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left"/>
    </xf>
    <xf numFmtId="0" fontId="12" fillId="3" borderId="2" xfId="0" applyFont="1" applyFill="1" applyBorder="1" applyAlignment="1" applyProtection="1">
      <alignment horizontal="left"/>
    </xf>
    <xf numFmtId="0" fontId="33" fillId="3" borderId="1" xfId="0" applyFont="1" applyFill="1" applyBorder="1" applyAlignment="1" applyProtection="1">
      <alignment horizontal="left"/>
    </xf>
    <xf numFmtId="0" fontId="33" fillId="3" borderId="2" xfId="0" applyFont="1" applyFill="1" applyBorder="1" applyAlignment="1" applyProtection="1">
      <alignment horizontal="left"/>
    </xf>
    <xf numFmtId="0" fontId="2" fillId="4" borderId="58" xfId="0" applyFont="1" applyFill="1" applyBorder="1" applyAlignment="1" applyProtection="1">
      <alignment horizontal="center"/>
      <protection locked="0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6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2" fillId="4" borderId="59" xfId="0" applyFont="1" applyFill="1" applyBorder="1" applyAlignment="1" applyProtection="1">
      <alignment horizontal="center"/>
      <protection locked="0"/>
    </xf>
    <xf numFmtId="0" fontId="3" fillId="7" borderId="28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2" fontId="11" fillId="7" borderId="19" xfId="0" applyNumberFormat="1" applyFont="1" applyFill="1" applyBorder="1" applyAlignment="1">
      <alignment horizontal="center"/>
    </xf>
    <xf numFmtId="0" fontId="12" fillId="3" borderId="1" xfId="0" applyFont="1" applyFill="1" applyBorder="1" applyAlignment="1" applyProtection="1">
      <alignment horizontal="left" vertical="top" wrapText="1"/>
    </xf>
    <xf numFmtId="0" fontId="12" fillId="3" borderId="2" xfId="0" applyFont="1" applyFill="1" applyBorder="1" applyAlignment="1" applyProtection="1">
      <alignment horizontal="left" vertical="top" wrapText="1"/>
    </xf>
    <xf numFmtId="0" fontId="7" fillId="2" borderId="38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 vertical="top"/>
      <protection locked="0"/>
    </xf>
    <xf numFmtId="0" fontId="5" fillId="2" borderId="0" xfId="0" applyFont="1" applyFill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6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2" fontId="10" fillId="2" borderId="17" xfId="0" applyNumberFormat="1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8" fillId="2" borderId="0" xfId="0" applyFont="1" applyFill="1" applyAlignment="1">
      <alignment horizontal="right"/>
    </xf>
    <xf numFmtId="0" fontId="9" fillId="2" borderId="10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right"/>
    </xf>
    <xf numFmtId="0" fontId="2" fillId="2" borderId="3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55" xfId="0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2" fontId="2" fillId="2" borderId="5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2" fillId="0" borderId="61" xfId="0" applyFont="1" applyFill="1" applyBorder="1" applyAlignment="1" applyProtection="1">
      <alignment horizontal="center"/>
      <protection locked="0"/>
    </xf>
    <xf numFmtId="0" fontId="2" fillId="0" borderId="66" xfId="0" applyFon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 applyProtection="1">
      <alignment horizontal="center"/>
      <protection locked="0"/>
    </xf>
    <xf numFmtId="0" fontId="2" fillId="0" borderId="47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center"/>
      <protection locked="0"/>
    </xf>
    <xf numFmtId="0" fontId="2" fillId="0" borderId="6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8">
    <dxf>
      <fill>
        <patternFill>
          <bgColor rgb="FFCC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66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CCFF33"/>
      <color rgb="FF66FF33"/>
      <color rgb="FFCCFF66"/>
      <color rgb="FFFB3109"/>
      <color rgb="FFEA0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-&#3591;&#3634;&#3609;&#3623;&#3636;&#3594;&#3634;&#3585;&#3634;&#3619;'!A1"/><Relationship Id="rId7" Type="http://schemas.openxmlformats.org/officeDocument/2006/relationships/hyperlink" Target="#'6-Report'!A1"/><Relationship Id="rId2" Type="http://schemas.openxmlformats.org/officeDocument/2006/relationships/hyperlink" Target="#'1-&#3591;&#3634;&#3609;&#3626;&#3629;&#3609;'!A1"/><Relationship Id="rId1" Type="http://schemas.openxmlformats.org/officeDocument/2006/relationships/hyperlink" Target="#DataSet!A1"/><Relationship Id="rId6" Type="http://schemas.openxmlformats.org/officeDocument/2006/relationships/hyperlink" Target="#'5-&#3614;&#3620;&#3605;&#3636;&#3585;&#3619;&#3619;&#3617;&#3585;&#3634;&#3619;&#3611;&#3599;&#3636;&#3610;&#3633;&#3605;&#3636;&#3591;&#3634;&#3609;'!A1"/><Relationship Id="rId5" Type="http://schemas.openxmlformats.org/officeDocument/2006/relationships/hyperlink" Target="#'4-&#3591;&#3634;&#3609;&#3605;&#3634;&#3617;&#3616;&#3634;&#3619;&#3585;&#3636;&#3592;&#3586;&#3629;&#3591;&#3588;&#3603;&#3632;'!A1"/><Relationship Id="rId4" Type="http://schemas.openxmlformats.org/officeDocument/2006/relationships/hyperlink" Target="#'3-&#3591;&#3634;&#3609;&#3626;&#3609;&#3633;&#3610;&#3626;&#3609;&#3640;&#3609;&#3585;&#3634;&#3619;&#3611;&#3599;&#3636;&#3610;&#3633;&#3605;&#3636;&#3591;&#3634;&#3609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333374</xdr:colOff>
      <xdr:row>1</xdr:row>
      <xdr:rowOff>238125</xdr:rowOff>
    </xdr:from>
    <xdr:to>
      <xdr:col>5</xdr:col>
      <xdr:colOff>209549</xdr:colOff>
      <xdr:row>3</xdr:row>
      <xdr:rowOff>133350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019174" y="1143000"/>
          <a:ext cx="2619375" cy="504825"/>
        </a:xfrm>
        <a:prstGeom prst="roundRect">
          <a:avLst/>
        </a:prstGeom>
        <a:gradFill flip="none" rotWithShape="1">
          <a:gsLst>
            <a:gs pos="0">
              <a:schemeClr val="accent5">
                <a:lumMod val="89000"/>
              </a:schemeClr>
            </a:gs>
            <a:gs pos="23000">
              <a:schemeClr val="accent5">
                <a:lumMod val="89000"/>
              </a:schemeClr>
            </a:gs>
            <a:gs pos="69000">
              <a:schemeClr val="accent5">
                <a:lumMod val="75000"/>
              </a:schemeClr>
            </a:gs>
            <a:gs pos="97000">
              <a:schemeClr val="accent5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กำหนดค่าเบื้องต้น</a:t>
          </a:r>
        </a:p>
      </xdr:txBody>
    </xdr:sp>
    <xdr:clientData/>
  </xdr:twoCellAnchor>
  <xdr:twoCellAnchor>
    <xdr:from>
      <xdr:col>5</xdr:col>
      <xdr:colOff>419099</xdr:colOff>
      <xdr:row>1</xdr:row>
      <xdr:rowOff>238125</xdr:rowOff>
    </xdr:from>
    <xdr:to>
      <xdr:col>9</xdr:col>
      <xdr:colOff>295274</xdr:colOff>
      <xdr:row>3</xdr:row>
      <xdr:rowOff>133350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3848099" y="1143000"/>
          <a:ext cx="2619375" cy="504825"/>
        </a:xfrm>
        <a:prstGeom prst="roundRect">
          <a:avLst/>
        </a:prstGeom>
        <a:solidFill>
          <a:srgbClr val="00B0F0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งานสอน</a:t>
          </a:r>
        </a:p>
      </xdr:txBody>
    </xdr:sp>
    <xdr:clientData/>
  </xdr:twoCellAnchor>
  <xdr:twoCellAnchor>
    <xdr:from>
      <xdr:col>5</xdr:col>
      <xdr:colOff>409574</xdr:colOff>
      <xdr:row>4</xdr:row>
      <xdr:rowOff>47625</xdr:rowOff>
    </xdr:from>
    <xdr:to>
      <xdr:col>9</xdr:col>
      <xdr:colOff>285749</xdr:colOff>
      <xdr:row>5</xdr:row>
      <xdr:rowOff>247650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3838574" y="1866900"/>
          <a:ext cx="2619375" cy="504825"/>
        </a:xfrm>
        <a:prstGeom prst="roundRect">
          <a:avLst/>
        </a:prstGeom>
        <a:solidFill>
          <a:srgbClr val="00B0F0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งานวิชาการ</a:t>
          </a:r>
        </a:p>
      </xdr:txBody>
    </xdr:sp>
    <xdr:clientData/>
  </xdr:twoCellAnchor>
  <xdr:twoCellAnchor>
    <xdr:from>
      <xdr:col>5</xdr:col>
      <xdr:colOff>409574</xdr:colOff>
      <xdr:row>6</xdr:row>
      <xdr:rowOff>161925</xdr:rowOff>
    </xdr:from>
    <xdr:to>
      <xdr:col>9</xdr:col>
      <xdr:colOff>285749</xdr:colOff>
      <xdr:row>8</xdr:row>
      <xdr:rowOff>57150</xdr:rowOff>
    </xdr:to>
    <xdr:sp macro="" textlink="">
      <xdr:nvSpPr>
        <xdr:cNvPr id="5" name="Rounded Rectangle 4">
          <a:hlinkClick xmlns:r="http://schemas.openxmlformats.org/officeDocument/2006/relationships" r:id="rId4"/>
        </xdr:cNvPr>
        <xdr:cNvSpPr/>
      </xdr:nvSpPr>
      <xdr:spPr>
        <a:xfrm>
          <a:off x="3838574" y="2590800"/>
          <a:ext cx="2619375" cy="504825"/>
        </a:xfrm>
        <a:prstGeom prst="roundRect">
          <a:avLst/>
        </a:prstGeom>
        <a:solidFill>
          <a:srgbClr val="00B0F0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งานสนับสนุนการปฏิบัติงาน</a:t>
          </a:r>
        </a:p>
      </xdr:txBody>
    </xdr:sp>
    <xdr:clientData/>
  </xdr:twoCellAnchor>
  <xdr:twoCellAnchor>
    <xdr:from>
      <xdr:col>5</xdr:col>
      <xdr:colOff>409574</xdr:colOff>
      <xdr:row>8</xdr:row>
      <xdr:rowOff>257175</xdr:rowOff>
    </xdr:from>
    <xdr:to>
      <xdr:col>9</xdr:col>
      <xdr:colOff>285749</xdr:colOff>
      <xdr:row>10</xdr:row>
      <xdr:rowOff>152400</xdr:rowOff>
    </xdr:to>
    <xdr:sp macro="" textlink="">
      <xdr:nvSpPr>
        <xdr:cNvPr id="6" name="Rounded Rectangle 5">
          <a:hlinkClick xmlns:r="http://schemas.openxmlformats.org/officeDocument/2006/relationships" r:id="rId5"/>
        </xdr:cNvPr>
        <xdr:cNvSpPr/>
      </xdr:nvSpPr>
      <xdr:spPr>
        <a:xfrm>
          <a:off x="3838574" y="3295650"/>
          <a:ext cx="2619375" cy="504825"/>
        </a:xfrm>
        <a:prstGeom prst="roundRect">
          <a:avLst/>
        </a:prstGeom>
        <a:solidFill>
          <a:srgbClr val="00B0F0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งานตามภารกิจของคณะ</a:t>
          </a:r>
        </a:p>
      </xdr:txBody>
    </xdr:sp>
    <xdr:clientData/>
  </xdr:twoCellAnchor>
  <xdr:twoCellAnchor>
    <xdr:from>
      <xdr:col>5</xdr:col>
      <xdr:colOff>409574</xdr:colOff>
      <xdr:row>11</xdr:row>
      <xdr:rowOff>66675</xdr:rowOff>
    </xdr:from>
    <xdr:to>
      <xdr:col>9</xdr:col>
      <xdr:colOff>285749</xdr:colOff>
      <xdr:row>12</xdr:row>
      <xdr:rowOff>266700</xdr:rowOff>
    </xdr:to>
    <xdr:sp macro="" textlink="">
      <xdr:nvSpPr>
        <xdr:cNvPr id="7" name="Rounded Rectangle 6">
          <a:hlinkClick xmlns:r="http://schemas.openxmlformats.org/officeDocument/2006/relationships" r:id="rId6"/>
        </xdr:cNvPr>
        <xdr:cNvSpPr/>
      </xdr:nvSpPr>
      <xdr:spPr>
        <a:xfrm>
          <a:off x="3838574" y="4019550"/>
          <a:ext cx="2619375" cy="504825"/>
        </a:xfrm>
        <a:prstGeom prst="roundRect">
          <a:avLst/>
        </a:prstGeom>
        <a:solidFill>
          <a:srgbClr val="00B050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พฤติกรรมการปฏิบัติงาน</a:t>
          </a:r>
        </a:p>
      </xdr:txBody>
    </xdr:sp>
    <xdr:clientData/>
  </xdr:twoCellAnchor>
  <xdr:twoCellAnchor>
    <xdr:from>
      <xdr:col>9</xdr:col>
      <xdr:colOff>485774</xdr:colOff>
      <xdr:row>1</xdr:row>
      <xdr:rowOff>238125</xdr:rowOff>
    </xdr:from>
    <xdr:to>
      <xdr:col>13</xdr:col>
      <xdr:colOff>361949</xdr:colOff>
      <xdr:row>3</xdr:row>
      <xdr:rowOff>133350</xdr:rowOff>
    </xdr:to>
    <xdr:sp macro="" textlink="">
      <xdr:nvSpPr>
        <xdr:cNvPr id="8" name="Rounded Rectangle 7">
          <a:hlinkClick xmlns:r="http://schemas.openxmlformats.org/officeDocument/2006/relationships" r:id="rId7"/>
        </xdr:cNvPr>
        <xdr:cNvSpPr/>
      </xdr:nvSpPr>
      <xdr:spPr>
        <a:xfrm>
          <a:off x="6657974" y="1143000"/>
          <a:ext cx="2619375" cy="504825"/>
        </a:xfrm>
        <a:prstGeom prst="roundRect">
          <a:avLst/>
        </a:prstGeom>
        <a:solidFill>
          <a:srgbClr val="7030A0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สรุปรายงาน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800100</xdr:colOff>
      <xdr:row>9</xdr:row>
      <xdr:rowOff>114300</xdr:rowOff>
    </xdr:from>
    <xdr:to>
      <xdr:col>6</xdr:col>
      <xdr:colOff>16125</xdr:colOff>
      <xdr:row>11</xdr:row>
      <xdr:rowOff>54225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067050"/>
          <a:ext cx="540000" cy="549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114300</xdr:colOff>
      <xdr:row>0</xdr:row>
      <xdr:rowOff>95250</xdr:rowOff>
    </xdr:from>
    <xdr:to>
      <xdr:col>11</xdr:col>
      <xdr:colOff>654300</xdr:colOff>
      <xdr:row>1</xdr:row>
      <xdr:rowOff>311400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5" y="95250"/>
          <a:ext cx="540000" cy="549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95250</xdr:rowOff>
    </xdr:from>
    <xdr:to>
      <xdr:col>11</xdr:col>
      <xdr:colOff>625725</xdr:colOff>
      <xdr:row>1</xdr:row>
      <xdr:rowOff>311400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50" y="95250"/>
          <a:ext cx="540000" cy="549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</xdr:colOff>
      <xdr:row>0</xdr:row>
      <xdr:rowOff>123825</xdr:rowOff>
    </xdr:from>
    <xdr:to>
      <xdr:col>12</xdr:col>
      <xdr:colOff>568575</xdr:colOff>
      <xdr:row>2</xdr:row>
      <xdr:rowOff>6600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123825"/>
          <a:ext cx="540000" cy="5495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104775</xdr:rowOff>
    </xdr:from>
    <xdr:to>
      <xdr:col>12</xdr:col>
      <xdr:colOff>587625</xdr:colOff>
      <xdr:row>1</xdr:row>
      <xdr:rowOff>320925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104775"/>
          <a:ext cx="540000" cy="549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466725</xdr:colOff>
      <xdr:row>0</xdr:row>
      <xdr:rowOff>142875</xdr:rowOff>
    </xdr:from>
    <xdr:to>
      <xdr:col>14</xdr:col>
      <xdr:colOff>511425</xdr:colOff>
      <xdr:row>2</xdr:row>
      <xdr:rowOff>25650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142875"/>
          <a:ext cx="540000" cy="549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161925</xdr:rowOff>
    </xdr:from>
    <xdr:to>
      <xdr:col>11</xdr:col>
      <xdr:colOff>720975</xdr:colOff>
      <xdr:row>1</xdr:row>
      <xdr:rowOff>292350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161925"/>
          <a:ext cx="540000" cy="549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sqref="A1:O1"/>
    </sheetView>
  </sheetViews>
  <sheetFormatPr defaultRowHeight="24" x14ac:dyDescent="0.55000000000000004"/>
  <cols>
    <col min="1" max="16384" width="9" style="1"/>
  </cols>
  <sheetData>
    <row r="1" spans="1:15" s="270" customFormat="1" ht="71.25" x14ac:dyDescent="1.55">
      <c r="A1" s="272" t="s">
        <v>368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11" spans="1:15" x14ac:dyDescent="0.55000000000000004">
      <c r="L11" s="271" t="s">
        <v>365</v>
      </c>
      <c r="M11" s="1" t="s">
        <v>366</v>
      </c>
    </row>
    <row r="12" spans="1:15" x14ac:dyDescent="0.55000000000000004">
      <c r="M12" s="1" t="s">
        <v>367</v>
      </c>
    </row>
  </sheetData>
  <sheetProtection algorithmName="SHA-512" hashValue="Hr7IXM8OtsXy84xl+GOIIgulAhfQbqj+ydT8074h24+ElGIAOR9i8CAbzIO88tKPTnwf4idwmG7AAjwzHbrAkQ==" saltValue="HgfiGxoAE3Iy5a5c/z1YbA==" spinCount="100000" sheet="1" objects="1" scenarios="1" selectLockedCells="1"/>
  <mergeCells count="1">
    <mergeCell ref="A1:O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3109"/>
    <pageSetUpPr fitToPage="1"/>
  </sheetPr>
  <dimension ref="A1:S92"/>
  <sheetViews>
    <sheetView zoomScaleNormal="100" workbookViewId="0">
      <selection activeCell="G8" sqref="G8:I8"/>
    </sheetView>
  </sheetViews>
  <sheetFormatPr defaultRowHeight="24" x14ac:dyDescent="0.55000000000000004"/>
  <cols>
    <col min="1" max="1" width="6" style="1" customWidth="1"/>
    <col min="2" max="2" width="15.625" style="1" bestFit="1" customWidth="1"/>
    <col min="3" max="3" width="12" style="1" customWidth="1"/>
    <col min="4" max="4" width="8.875" style="1" customWidth="1"/>
    <col min="5" max="5" width="9" style="1"/>
    <col min="6" max="6" width="17.375" style="1" customWidth="1"/>
    <col min="7" max="7" width="20.625" style="1" customWidth="1"/>
    <col min="8" max="8" width="1.125" style="1" customWidth="1"/>
    <col min="9" max="9" width="12" style="1" customWidth="1"/>
    <col min="10" max="10" width="9" style="1"/>
    <col min="11" max="11" width="11.625" style="1" customWidth="1"/>
    <col min="12" max="12" width="13.625" style="1" customWidth="1"/>
    <col min="13" max="13" width="0" style="1" hidden="1" customWidth="1"/>
    <col min="14" max="17" width="9" style="147" hidden="1" customWidth="1"/>
    <col min="18" max="19" width="0" style="31" hidden="1" customWidth="1"/>
    <col min="20" max="29" width="0" style="1" hidden="1" customWidth="1"/>
    <col min="30" max="16384" width="9" style="1"/>
  </cols>
  <sheetData>
    <row r="1" spans="1:19" ht="24.75" thickBot="1" x14ac:dyDescent="0.6"/>
    <row r="2" spans="1:19" s="148" customFormat="1" ht="36.75" thickBot="1" x14ac:dyDescent="0.85">
      <c r="A2" s="274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6"/>
      <c r="N2" s="149"/>
      <c r="O2" s="149"/>
      <c r="P2" s="149"/>
      <c r="Q2" s="149"/>
      <c r="R2" s="150"/>
      <c r="S2" s="150"/>
    </row>
    <row r="3" spans="1:19" s="148" customFormat="1" ht="13.5" customHeight="1" thickBot="1" x14ac:dyDescent="0.8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N3" s="149"/>
      <c r="O3" s="149"/>
      <c r="P3" s="149"/>
      <c r="Q3" s="149"/>
      <c r="R3" s="150"/>
      <c r="S3" s="150"/>
    </row>
    <row r="4" spans="1:19" s="148" customFormat="1" ht="13.5" customHeight="1" x14ac:dyDescent="0.8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N4" s="149"/>
      <c r="O4" s="149"/>
      <c r="P4" s="149"/>
      <c r="Q4" s="149"/>
      <c r="R4" s="150"/>
      <c r="S4" s="150"/>
    </row>
    <row r="5" spans="1:19" s="152" customFormat="1" ht="33" x14ac:dyDescent="0.75">
      <c r="A5" s="282" t="s">
        <v>0</v>
      </c>
      <c r="B5" s="283"/>
      <c r="C5" s="134"/>
      <c r="D5" s="32"/>
      <c r="E5" s="135" t="s">
        <v>53</v>
      </c>
      <c r="F5" s="134"/>
      <c r="G5" s="32"/>
      <c r="H5" s="32"/>
      <c r="I5" s="281" t="s">
        <v>172</v>
      </c>
      <c r="J5" s="281"/>
      <c r="K5" s="281"/>
      <c r="L5" s="43"/>
      <c r="S5" s="153"/>
    </row>
    <row r="6" spans="1:19" s="152" customFormat="1" ht="33" x14ac:dyDescent="0.75">
      <c r="A6" s="282" t="s">
        <v>1</v>
      </c>
      <c r="B6" s="283"/>
      <c r="C6" s="277"/>
      <c r="D6" s="277"/>
      <c r="E6" s="277"/>
      <c r="F6" s="33" t="s">
        <v>6</v>
      </c>
      <c r="G6" s="134"/>
      <c r="H6" s="32"/>
      <c r="I6" s="281" t="s">
        <v>7</v>
      </c>
      <c r="J6" s="281"/>
      <c r="K6" s="273"/>
      <c r="L6" s="278"/>
      <c r="S6" s="153"/>
    </row>
    <row r="7" spans="1:19" s="152" customFormat="1" ht="33" x14ac:dyDescent="0.75">
      <c r="A7" s="282" t="s">
        <v>196</v>
      </c>
      <c r="B7" s="283"/>
      <c r="C7" s="284"/>
      <c r="D7" s="284"/>
      <c r="E7" s="284"/>
      <c r="F7" s="33" t="s">
        <v>11</v>
      </c>
      <c r="G7" s="280" t="s">
        <v>12</v>
      </c>
      <c r="H7" s="280"/>
      <c r="I7" s="280"/>
      <c r="J7" s="32"/>
      <c r="K7" s="32"/>
      <c r="L7" s="34"/>
      <c r="S7" s="153"/>
    </row>
    <row r="8" spans="1:19" s="152" customFormat="1" ht="33" x14ac:dyDescent="0.75">
      <c r="A8" s="282" t="s">
        <v>10</v>
      </c>
      <c r="B8" s="283"/>
      <c r="C8" s="279"/>
      <c r="D8" s="279"/>
      <c r="E8" s="279"/>
      <c r="F8" s="33" t="s">
        <v>52</v>
      </c>
      <c r="G8" s="273"/>
      <c r="H8" s="273"/>
      <c r="I8" s="273"/>
      <c r="J8" s="155" t="s">
        <v>285</v>
      </c>
      <c r="K8" s="32"/>
      <c r="L8" s="34"/>
      <c r="S8" s="153"/>
    </row>
    <row r="9" spans="1:19" s="152" customFormat="1" ht="12" customHeight="1" thickBot="1" x14ac:dyDescent="0.8">
      <c r="A9" s="233"/>
      <c r="B9" s="234"/>
      <c r="C9" s="235"/>
      <c r="D9" s="235"/>
      <c r="E9" s="235"/>
      <c r="F9" s="236"/>
      <c r="G9" s="237"/>
      <c r="H9" s="237"/>
      <c r="I9" s="237"/>
      <c r="J9" s="238"/>
      <c r="K9" s="238"/>
      <c r="L9" s="239"/>
      <c r="S9" s="153"/>
    </row>
    <row r="10" spans="1:19" s="140" customFormat="1" x14ac:dyDescent="0.55000000000000004">
      <c r="N10" s="232"/>
      <c r="O10" s="232"/>
      <c r="P10" s="232"/>
      <c r="Q10" s="232"/>
    </row>
    <row r="11" spans="1:19" s="188" customFormat="1" x14ac:dyDescent="0.55000000000000004">
      <c r="A11" s="188" t="s">
        <v>0</v>
      </c>
      <c r="C11" s="188" t="s">
        <v>183</v>
      </c>
      <c r="E11" s="188" t="s">
        <v>7</v>
      </c>
      <c r="G11" s="188" t="s">
        <v>196</v>
      </c>
      <c r="N11" s="189"/>
      <c r="O11" s="189"/>
      <c r="P11" s="189"/>
      <c r="Q11" s="189"/>
    </row>
    <row r="12" spans="1:19" s="67" customFormat="1" x14ac:dyDescent="0.55000000000000004">
      <c r="A12" s="154" t="s">
        <v>181</v>
      </c>
      <c r="C12" s="190" t="s">
        <v>4</v>
      </c>
      <c r="E12" s="154" t="s">
        <v>5</v>
      </c>
      <c r="G12" s="67" t="s">
        <v>195</v>
      </c>
      <c r="N12" s="154"/>
      <c r="O12" s="154"/>
      <c r="P12" s="154"/>
      <c r="Q12" s="154"/>
    </row>
    <row r="13" spans="1:19" s="67" customFormat="1" x14ac:dyDescent="0.55000000000000004">
      <c r="A13" s="154" t="s">
        <v>182</v>
      </c>
      <c r="C13" s="190" t="s">
        <v>184</v>
      </c>
      <c r="E13" s="154" t="s">
        <v>8</v>
      </c>
      <c r="G13" s="67" t="s">
        <v>189</v>
      </c>
      <c r="N13" s="154"/>
      <c r="O13" s="154"/>
      <c r="P13" s="154"/>
      <c r="Q13" s="154"/>
    </row>
    <row r="14" spans="1:19" s="67" customFormat="1" x14ac:dyDescent="0.55000000000000004">
      <c r="A14" s="154"/>
      <c r="C14" s="190" t="s">
        <v>185</v>
      </c>
      <c r="E14" s="154" t="s">
        <v>9</v>
      </c>
      <c r="G14" s="67" t="s">
        <v>190</v>
      </c>
      <c r="N14" s="154"/>
      <c r="O14" s="154"/>
      <c r="P14" s="154"/>
      <c r="Q14" s="154"/>
    </row>
    <row r="15" spans="1:19" s="67" customFormat="1" x14ac:dyDescent="0.55000000000000004">
      <c r="A15" s="154"/>
      <c r="C15" s="190" t="s">
        <v>186</v>
      </c>
      <c r="E15" s="154"/>
      <c r="G15" s="67" t="s">
        <v>191</v>
      </c>
      <c r="N15" s="154"/>
      <c r="O15" s="154"/>
      <c r="P15" s="154"/>
      <c r="Q15" s="154"/>
    </row>
    <row r="16" spans="1:19" s="67" customFormat="1" x14ac:dyDescent="0.55000000000000004">
      <c r="G16" s="67" t="s">
        <v>192</v>
      </c>
      <c r="N16" s="154"/>
      <c r="O16" s="154"/>
      <c r="P16" s="154"/>
      <c r="Q16" s="154"/>
    </row>
    <row r="17" spans="1:17" s="67" customFormat="1" x14ac:dyDescent="0.55000000000000004">
      <c r="G17" s="67" t="s">
        <v>193</v>
      </c>
      <c r="N17" s="154"/>
      <c r="O17" s="154"/>
      <c r="P17" s="154"/>
      <c r="Q17" s="154"/>
    </row>
    <row r="18" spans="1:17" s="67" customFormat="1" x14ac:dyDescent="0.55000000000000004">
      <c r="G18" s="67" t="s">
        <v>194</v>
      </c>
      <c r="N18" s="154"/>
      <c r="O18" s="154"/>
      <c r="P18" s="154"/>
      <c r="Q18" s="154"/>
    </row>
    <row r="19" spans="1:17" s="67" customFormat="1" x14ac:dyDescent="0.55000000000000004">
      <c r="G19" s="67" t="s">
        <v>201</v>
      </c>
      <c r="N19" s="154"/>
      <c r="O19" s="154"/>
      <c r="P19" s="154"/>
      <c r="Q19" s="154"/>
    </row>
    <row r="20" spans="1:17" s="67" customFormat="1" x14ac:dyDescent="0.55000000000000004">
      <c r="G20" s="67" t="s">
        <v>197</v>
      </c>
      <c r="N20" s="154"/>
      <c r="O20" s="154"/>
      <c r="P20" s="154"/>
      <c r="Q20" s="154"/>
    </row>
    <row r="21" spans="1:17" s="67" customFormat="1" x14ac:dyDescent="0.55000000000000004">
      <c r="G21" s="67" t="s">
        <v>198</v>
      </c>
      <c r="N21" s="154"/>
      <c r="O21" s="154"/>
      <c r="P21" s="154"/>
      <c r="Q21" s="154"/>
    </row>
    <row r="22" spans="1:17" s="67" customFormat="1" x14ac:dyDescent="0.55000000000000004">
      <c r="G22" s="67" t="s">
        <v>199</v>
      </c>
      <c r="N22" s="154"/>
      <c r="O22" s="154"/>
      <c r="P22" s="154"/>
      <c r="Q22" s="154"/>
    </row>
    <row r="23" spans="1:17" s="67" customFormat="1" x14ac:dyDescent="0.55000000000000004">
      <c r="G23" s="67" t="s">
        <v>200</v>
      </c>
      <c r="N23" s="154"/>
      <c r="O23" s="154"/>
      <c r="P23" s="154"/>
      <c r="Q23" s="154"/>
    </row>
    <row r="24" spans="1:17" s="67" customFormat="1" x14ac:dyDescent="0.55000000000000004">
      <c r="A24" s="67" t="s">
        <v>224</v>
      </c>
      <c r="B24" s="67" t="s">
        <v>225</v>
      </c>
      <c r="C24" s="67" t="s">
        <v>64</v>
      </c>
      <c r="D24" s="68" t="s">
        <v>277</v>
      </c>
      <c r="E24" s="67" t="s">
        <v>202</v>
      </c>
      <c r="N24" s="154"/>
      <c r="O24" s="154"/>
      <c r="P24" s="154"/>
      <c r="Q24" s="154"/>
    </row>
    <row r="25" spans="1:17" s="67" customFormat="1" ht="27.75" x14ac:dyDescent="0.65">
      <c r="C25" s="185"/>
      <c r="D25" s="68" t="s">
        <v>278</v>
      </c>
      <c r="E25" s="67" t="s">
        <v>203</v>
      </c>
      <c r="N25" s="154"/>
      <c r="O25" s="154"/>
      <c r="P25" s="154"/>
      <c r="Q25" s="154"/>
    </row>
    <row r="26" spans="1:17" s="67" customFormat="1" x14ac:dyDescent="0.55000000000000004">
      <c r="C26" s="68" t="s">
        <v>60</v>
      </c>
      <c r="D26" s="68" t="s">
        <v>279</v>
      </c>
      <c r="E26" s="191" t="s">
        <v>65</v>
      </c>
      <c r="N26" s="154"/>
      <c r="O26" s="154"/>
      <c r="P26" s="154"/>
      <c r="Q26" s="154"/>
    </row>
    <row r="27" spans="1:17" s="67" customFormat="1" x14ac:dyDescent="0.55000000000000004">
      <c r="D27" s="68" t="s">
        <v>280</v>
      </c>
      <c r="E27" s="67" t="s">
        <v>66</v>
      </c>
      <c r="N27" s="154"/>
      <c r="O27" s="154"/>
      <c r="P27" s="154"/>
      <c r="Q27" s="154"/>
    </row>
    <row r="28" spans="1:17" s="67" customFormat="1" x14ac:dyDescent="0.55000000000000004">
      <c r="D28" s="68" t="s">
        <v>281</v>
      </c>
      <c r="E28" s="67" t="s">
        <v>67</v>
      </c>
      <c r="N28" s="154"/>
      <c r="O28" s="154"/>
      <c r="P28" s="154"/>
      <c r="Q28" s="154"/>
    </row>
    <row r="29" spans="1:17" s="67" customFormat="1" x14ac:dyDescent="0.55000000000000004">
      <c r="A29" s="67" t="s">
        <v>224</v>
      </c>
      <c r="B29" s="67" t="s">
        <v>226</v>
      </c>
      <c r="C29" s="67" t="s">
        <v>88</v>
      </c>
      <c r="D29" s="68" t="s">
        <v>275</v>
      </c>
      <c r="E29" s="67" t="s">
        <v>91</v>
      </c>
      <c r="N29" s="154"/>
      <c r="O29" s="154"/>
      <c r="P29" s="154"/>
      <c r="Q29" s="154"/>
    </row>
    <row r="30" spans="1:17" s="67" customFormat="1" x14ac:dyDescent="0.55000000000000004">
      <c r="D30" s="68" t="s">
        <v>276</v>
      </c>
      <c r="E30" s="67" t="s">
        <v>89</v>
      </c>
      <c r="N30" s="154"/>
      <c r="O30" s="154"/>
      <c r="P30" s="154"/>
      <c r="Q30" s="154"/>
    </row>
    <row r="31" spans="1:17" s="67" customFormat="1" x14ac:dyDescent="0.55000000000000004">
      <c r="D31" s="192"/>
      <c r="G31" s="67" t="s">
        <v>109</v>
      </c>
      <c r="N31" s="154"/>
      <c r="O31" s="154"/>
      <c r="P31" s="154"/>
      <c r="Q31" s="154"/>
    </row>
    <row r="32" spans="1:17" s="67" customFormat="1" x14ac:dyDescent="0.55000000000000004">
      <c r="C32" s="67" t="s">
        <v>101</v>
      </c>
      <c r="D32" s="68" t="s">
        <v>269</v>
      </c>
      <c r="E32" s="67" t="s">
        <v>110</v>
      </c>
      <c r="G32" s="68">
        <f>8/100</f>
        <v>0.08</v>
      </c>
      <c r="N32" s="154"/>
      <c r="O32" s="154"/>
      <c r="P32" s="154"/>
      <c r="Q32" s="154"/>
    </row>
    <row r="33" spans="3:17" s="67" customFormat="1" x14ac:dyDescent="0.55000000000000004">
      <c r="D33" s="68" t="s">
        <v>270</v>
      </c>
      <c r="E33" s="67" t="s">
        <v>104</v>
      </c>
      <c r="G33" s="68">
        <f>10/100</f>
        <v>0.1</v>
      </c>
      <c r="N33" s="154"/>
      <c r="O33" s="154"/>
      <c r="P33" s="154"/>
      <c r="Q33" s="154"/>
    </row>
    <row r="34" spans="3:17" s="67" customFormat="1" x14ac:dyDescent="0.55000000000000004">
      <c r="D34" s="68" t="s">
        <v>271</v>
      </c>
      <c r="E34" s="67" t="s">
        <v>105</v>
      </c>
      <c r="G34" s="68">
        <f>9/100</f>
        <v>0.09</v>
      </c>
      <c r="N34" s="154"/>
      <c r="O34" s="154"/>
      <c r="P34" s="154"/>
      <c r="Q34" s="154"/>
    </row>
    <row r="35" spans="3:17" s="67" customFormat="1" x14ac:dyDescent="0.55000000000000004">
      <c r="D35" s="68" t="s">
        <v>272</v>
      </c>
      <c r="E35" s="67" t="s">
        <v>106</v>
      </c>
      <c r="G35" s="68">
        <f>12/100</f>
        <v>0.12</v>
      </c>
      <c r="N35" s="154"/>
      <c r="O35" s="154"/>
      <c r="P35" s="154"/>
      <c r="Q35" s="154"/>
    </row>
    <row r="36" spans="3:17" s="67" customFormat="1" x14ac:dyDescent="0.55000000000000004">
      <c r="D36" s="68" t="s">
        <v>273</v>
      </c>
      <c r="E36" s="67" t="s">
        <v>107</v>
      </c>
      <c r="G36" s="68">
        <f>10/100</f>
        <v>0.1</v>
      </c>
      <c r="N36" s="154"/>
      <c r="O36" s="154"/>
      <c r="P36" s="154"/>
      <c r="Q36" s="154"/>
    </row>
    <row r="37" spans="3:17" s="67" customFormat="1" x14ac:dyDescent="0.55000000000000004">
      <c r="D37" s="68" t="s">
        <v>274</v>
      </c>
      <c r="E37" s="67" t="s">
        <v>108</v>
      </c>
      <c r="G37" s="68">
        <f>14/100</f>
        <v>0.14000000000000001</v>
      </c>
      <c r="N37" s="154"/>
      <c r="O37" s="154"/>
      <c r="P37" s="154"/>
      <c r="Q37" s="154"/>
    </row>
    <row r="38" spans="3:17" s="67" customFormat="1" x14ac:dyDescent="0.55000000000000004">
      <c r="D38" s="192"/>
      <c r="G38" s="67" t="s">
        <v>61</v>
      </c>
      <c r="N38" s="154"/>
      <c r="O38" s="154"/>
      <c r="P38" s="154"/>
      <c r="Q38" s="154"/>
    </row>
    <row r="39" spans="3:17" s="67" customFormat="1" x14ac:dyDescent="0.55000000000000004">
      <c r="C39" s="67" t="s">
        <v>113</v>
      </c>
      <c r="D39" s="68" t="s">
        <v>257</v>
      </c>
      <c r="E39" s="67" t="s">
        <v>116</v>
      </c>
      <c r="G39" s="68">
        <v>24</v>
      </c>
      <c r="N39" s="154"/>
      <c r="O39" s="154"/>
      <c r="P39" s="154"/>
      <c r="Q39" s="154"/>
    </row>
    <row r="40" spans="3:17" s="67" customFormat="1" x14ac:dyDescent="0.55000000000000004">
      <c r="D40" s="68" t="s">
        <v>258</v>
      </c>
      <c r="E40" s="67" t="s">
        <v>117</v>
      </c>
      <c r="G40" s="68">
        <v>20</v>
      </c>
      <c r="N40" s="154"/>
      <c r="O40" s="154"/>
      <c r="P40" s="154"/>
      <c r="Q40" s="154"/>
    </row>
    <row r="41" spans="3:17" s="67" customFormat="1" x14ac:dyDescent="0.55000000000000004">
      <c r="D41" s="68" t="s">
        <v>259</v>
      </c>
      <c r="E41" s="67" t="s">
        <v>118</v>
      </c>
      <c r="G41" s="68">
        <v>16</v>
      </c>
      <c r="N41" s="154"/>
      <c r="O41" s="154"/>
      <c r="P41" s="154"/>
      <c r="Q41" s="154"/>
    </row>
    <row r="42" spans="3:17" s="67" customFormat="1" x14ac:dyDescent="0.55000000000000004">
      <c r="D42" s="68" t="s">
        <v>260</v>
      </c>
      <c r="E42" s="67" t="s">
        <v>119</v>
      </c>
      <c r="G42" s="68">
        <v>12</v>
      </c>
      <c r="N42" s="154"/>
      <c r="O42" s="154"/>
      <c r="P42" s="154"/>
      <c r="Q42" s="154"/>
    </row>
    <row r="43" spans="3:17" s="67" customFormat="1" x14ac:dyDescent="0.55000000000000004">
      <c r="D43" s="68" t="s">
        <v>261</v>
      </c>
      <c r="E43" s="67" t="s">
        <v>120</v>
      </c>
      <c r="G43" s="68">
        <v>10</v>
      </c>
      <c r="N43" s="154"/>
      <c r="O43" s="154"/>
      <c r="P43" s="154"/>
      <c r="Q43" s="154"/>
    </row>
    <row r="44" spans="3:17" s="67" customFormat="1" x14ac:dyDescent="0.55000000000000004">
      <c r="D44" s="68" t="s">
        <v>262</v>
      </c>
      <c r="E44" s="67" t="s">
        <v>121</v>
      </c>
      <c r="G44" s="68">
        <v>8</v>
      </c>
      <c r="N44" s="154"/>
      <c r="O44" s="154"/>
      <c r="P44" s="154"/>
      <c r="Q44" s="154"/>
    </row>
    <row r="45" spans="3:17" s="67" customFormat="1" x14ac:dyDescent="0.55000000000000004">
      <c r="D45" s="68" t="s">
        <v>263</v>
      </c>
      <c r="E45" s="67" t="s">
        <v>213</v>
      </c>
      <c r="G45" s="68">
        <v>14</v>
      </c>
      <c r="N45" s="154"/>
      <c r="O45" s="154"/>
      <c r="P45" s="154"/>
      <c r="Q45" s="154"/>
    </row>
    <row r="46" spans="3:17" s="67" customFormat="1" x14ac:dyDescent="0.55000000000000004">
      <c r="D46" s="68" t="s">
        <v>264</v>
      </c>
      <c r="E46" s="67" t="s">
        <v>214</v>
      </c>
      <c r="G46" s="68">
        <v>10</v>
      </c>
      <c r="N46" s="154"/>
      <c r="O46" s="154"/>
      <c r="P46" s="154"/>
      <c r="Q46" s="154"/>
    </row>
    <row r="47" spans="3:17" s="67" customFormat="1" x14ac:dyDescent="0.55000000000000004">
      <c r="D47" s="68" t="s">
        <v>265</v>
      </c>
      <c r="E47" s="67" t="s">
        <v>215</v>
      </c>
      <c r="G47" s="68">
        <v>5</v>
      </c>
      <c r="N47" s="154"/>
      <c r="O47" s="154"/>
      <c r="P47" s="154"/>
      <c r="Q47" s="154"/>
    </row>
    <row r="48" spans="3:17" s="67" customFormat="1" x14ac:dyDescent="0.55000000000000004">
      <c r="D48" s="68" t="s">
        <v>266</v>
      </c>
      <c r="E48" s="67" t="s">
        <v>216</v>
      </c>
      <c r="G48" s="68">
        <v>8</v>
      </c>
      <c r="N48" s="154"/>
      <c r="O48" s="154"/>
      <c r="P48" s="154"/>
      <c r="Q48" s="154"/>
    </row>
    <row r="49" spans="1:17" s="67" customFormat="1" x14ac:dyDescent="0.55000000000000004">
      <c r="D49" s="68" t="s">
        <v>267</v>
      </c>
      <c r="E49" s="67" t="s">
        <v>217</v>
      </c>
      <c r="G49" s="68">
        <v>6</v>
      </c>
      <c r="N49" s="154"/>
      <c r="O49" s="154"/>
      <c r="P49" s="154"/>
      <c r="Q49" s="154"/>
    </row>
    <row r="50" spans="1:17" s="67" customFormat="1" x14ac:dyDescent="0.55000000000000004">
      <c r="D50" s="68" t="s">
        <v>268</v>
      </c>
      <c r="E50" s="67" t="s">
        <v>218</v>
      </c>
      <c r="G50" s="68">
        <v>4</v>
      </c>
      <c r="N50" s="154"/>
      <c r="O50" s="154"/>
      <c r="P50" s="154"/>
      <c r="Q50" s="154"/>
    </row>
    <row r="51" spans="1:17" s="67" customFormat="1" x14ac:dyDescent="0.55000000000000004">
      <c r="D51" s="192"/>
      <c r="G51" s="67" t="s">
        <v>61</v>
      </c>
      <c r="N51" s="154"/>
      <c r="O51" s="154"/>
      <c r="P51" s="154"/>
      <c r="Q51" s="154"/>
    </row>
    <row r="52" spans="1:17" s="67" customFormat="1" x14ac:dyDescent="0.55000000000000004">
      <c r="C52" s="67" t="s">
        <v>127</v>
      </c>
      <c r="D52" s="68" t="s">
        <v>247</v>
      </c>
      <c r="E52" s="67" t="s">
        <v>128</v>
      </c>
      <c r="G52" s="68">
        <v>24</v>
      </c>
      <c r="N52" s="154"/>
      <c r="O52" s="154"/>
      <c r="P52" s="154"/>
      <c r="Q52" s="154"/>
    </row>
    <row r="53" spans="1:17" s="67" customFormat="1" x14ac:dyDescent="0.55000000000000004">
      <c r="D53" s="68" t="s">
        <v>248</v>
      </c>
      <c r="E53" s="67" t="s">
        <v>129</v>
      </c>
      <c r="G53" s="68">
        <v>20</v>
      </c>
      <c r="N53" s="154"/>
      <c r="O53" s="154"/>
      <c r="P53" s="154"/>
      <c r="Q53" s="154"/>
    </row>
    <row r="54" spans="1:17" s="67" customFormat="1" x14ac:dyDescent="0.55000000000000004">
      <c r="D54" s="68" t="s">
        <v>249</v>
      </c>
      <c r="E54" s="67" t="s">
        <v>130</v>
      </c>
      <c r="G54" s="68">
        <v>16</v>
      </c>
      <c r="N54" s="154"/>
      <c r="O54" s="154"/>
      <c r="P54" s="154"/>
      <c r="Q54" s="154"/>
    </row>
    <row r="55" spans="1:17" s="67" customFormat="1" x14ac:dyDescent="0.55000000000000004">
      <c r="D55" s="68" t="s">
        <v>250</v>
      </c>
      <c r="E55" s="67" t="s">
        <v>131</v>
      </c>
      <c r="G55" s="68">
        <v>12</v>
      </c>
      <c r="N55" s="154"/>
      <c r="O55" s="154"/>
      <c r="P55" s="154"/>
      <c r="Q55" s="154"/>
    </row>
    <row r="56" spans="1:17" s="67" customFormat="1" x14ac:dyDescent="0.55000000000000004">
      <c r="D56" s="68" t="s">
        <v>251</v>
      </c>
      <c r="E56" s="67" t="s">
        <v>132</v>
      </c>
      <c r="G56" s="68">
        <v>8</v>
      </c>
      <c r="N56" s="154"/>
      <c r="O56" s="154"/>
      <c r="P56" s="154"/>
      <c r="Q56" s="154"/>
    </row>
    <row r="57" spans="1:17" s="67" customFormat="1" x14ac:dyDescent="0.55000000000000004">
      <c r="D57" s="68" t="s">
        <v>252</v>
      </c>
      <c r="E57" s="67" t="s">
        <v>133</v>
      </c>
      <c r="G57" s="68">
        <v>24</v>
      </c>
      <c r="N57" s="154"/>
      <c r="O57" s="154"/>
      <c r="P57" s="154"/>
      <c r="Q57" s="154"/>
    </row>
    <row r="58" spans="1:17" s="67" customFormat="1" x14ac:dyDescent="0.55000000000000004">
      <c r="D58" s="68" t="s">
        <v>253</v>
      </c>
      <c r="E58" s="67" t="s">
        <v>134</v>
      </c>
      <c r="G58" s="68">
        <v>20</v>
      </c>
      <c r="N58" s="154"/>
      <c r="O58" s="154"/>
      <c r="P58" s="154"/>
      <c r="Q58" s="154"/>
    </row>
    <row r="59" spans="1:17" s="67" customFormat="1" x14ac:dyDescent="0.55000000000000004">
      <c r="D59" s="68" t="s">
        <v>254</v>
      </c>
      <c r="E59" s="67" t="s">
        <v>135</v>
      </c>
      <c r="G59" s="68">
        <v>16</v>
      </c>
      <c r="N59" s="154"/>
      <c r="O59" s="154"/>
      <c r="P59" s="154"/>
      <c r="Q59" s="154"/>
    </row>
    <row r="60" spans="1:17" s="67" customFormat="1" x14ac:dyDescent="0.55000000000000004">
      <c r="D60" s="68" t="s">
        <v>255</v>
      </c>
      <c r="E60" s="67" t="s">
        <v>136</v>
      </c>
      <c r="G60" s="68">
        <v>12</v>
      </c>
      <c r="N60" s="154"/>
      <c r="O60" s="154"/>
      <c r="P60" s="154"/>
      <c r="Q60" s="154"/>
    </row>
    <row r="61" spans="1:17" s="67" customFormat="1" x14ac:dyDescent="0.55000000000000004">
      <c r="D61" s="68" t="s">
        <v>256</v>
      </c>
      <c r="E61" s="67" t="s">
        <v>137</v>
      </c>
      <c r="G61" s="68">
        <v>8</v>
      </c>
      <c r="N61" s="154"/>
      <c r="O61" s="154"/>
      <c r="P61" s="154"/>
      <c r="Q61" s="154"/>
    </row>
    <row r="62" spans="1:17" s="67" customFormat="1" x14ac:dyDescent="0.55000000000000004">
      <c r="A62" s="67" t="s">
        <v>224</v>
      </c>
      <c r="B62" s="67" t="s">
        <v>227</v>
      </c>
      <c r="E62" s="67" t="s">
        <v>71</v>
      </c>
      <c r="G62" s="68" t="s">
        <v>61</v>
      </c>
      <c r="N62" s="154"/>
      <c r="O62" s="154"/>
      <c r="P62" s="154"/>
      <c r="Q62" s="154"/>
    </row>
    <row r="63" spans="1:17" s="67" customFormat="1" x14ac:dyDescent="0.55000000000000004">
      <c r="C63" s="68" t="s">
        <v>140</v>
      </c>
      <c r="D63" s="68" t="s">
        <v>243</v>
      </c>
      <c r="E63" s="191" t="s">
        <v>5</v>
      </c>
      <c r="F63" s="187"/>
      <c r="G63" s="186">
        <v>26</v>
      </c>
      <c r="N63" s="154"/>
      <c r="O63" s="154"/>
      <c r="P63" s="154"/>
      <c r="Q63" s="154"/>
    </row>
    <row r="64" spans="1:17" s="67" customFormat="1" x14ac:dyDescent="0.55000000000000004">
      <c r="D64" s="68" t="s">
        <v>244</v>
      </c>
      <c r="E64" s="67" t="s">
        <v>8</v>
      </c>
      <c r="G64" s="186">
        <v>16</v>
      </c>
      <c r="N64" s="154"/>
      <c r="O64" s="154"/>
      <c r="P64" s="154"/>
      <c r="Q64" s="154"/>
    </row>
    <row r="65" spans="3:17" s="67" customFormat="1" x14ac:dyDescent="0.55000000000000004">
      <c r="D65" s="68" t="s">
        <v>245</v>
      </c>
      <c r="E65" s="67" t="s">
        <v>141</v>
      </c>
      <c r="G65" s="186">
        <v>12</v>
      </c>
      <c r="N65" s="154"/>
      <c r="O65" s="154"/>
      <c r="P65" s="154"/>
      <c r="Q65" s="154"/>
    </row>
    <row r="66" spans="3:17" s="67" customFormat="1" x14ac:dyDescent="0.55000000000000004">
      <c r="D66" s="68" t="s">
        <v>246</v>
      </c>
      <c r="E66" s="67" t="s">
        <v>142</v>
      </c>
      <c r="G66" s="186">
        <v>12</v>
      </c>
      <c r="N66" s="154"/>
      <c r="O66" s="154"/>
      <c r="P66" s="154"/>
      <c r="Q66" s="154"/>
    </row>
    <row r="67" spans="3:17" s="67" customFormat="1" x14ac:dyDescent="0.55000000000000004">
      <c r="C67" s="67" t="s">
        <v>152</v>
      </c>
      <c r="E67" s="67" t="s">
        <v>71</v>
      </c>
      <c r="G67" s="68" t="s">
        <v>61</v>
      </c>
      <c r="N67" s="154"/>
      <c r="O67" s="154"/>
      <c r="P67" s="154"/>
      <c r="Q67" s="154"/>
    </row>
    <row r="68" spans="3:17" s="67" customFormat="1" x14ac:dyDescent="0.55000000000000004">
      <c r="D68" s="68" t="s">
        <v>228</v>
      </c>
      <c r="E68" s="67" t="s">
        <v>144</v>
      </c>
      <c r="G68" s="68">
        <v>1</v>
      </c>
      <c r="N68" s="154"/>
      <c r="O68" s="154"/>
      <c r="P68" s="154"/>
      <c r="Q68" s="154"/>
    </row>
    <row r="69" spans="3:17" s="67" customFormat="1" x14ac:dyDescent="0.55000000000000004">
      <c r="D69" s="68" t="s">
        <v>229</v>
      </c>
      <c r="E69" s="67" t="s">
        <v>145</v>
      </c>
      <c r="G69" s="68">
        <v>1</v>
      </c>
      <c r="N69" s="154"/>
      <c r="O69" s="154"/>
      <c r="P69" s="154"/>
      <c r="Q69" s="154"/>
    </row>
    <row r="70" spans="3:17" s="67" customFormat="1" x14ac:dyDescent="0.55000000000000004">
      <c r="D70" s="68" t="s">
        <v>230</v>
      </c>
      <c r="E70" s="67" t="s">
        <v>146</v>
      </c>
      <c r="G70" s="68">
        <v>2</v>
      </c>
      <c r="N70" s="154"/>
      <c r="O70" s="154"/>
      <c r="P70" s="154"/>
      <c r="Q70" s="154"/>
    </row>
    <row r="71" spans="3:17" s="67" customFormat="1" x14ac:dyDescent="0.55000000000000004">
      <c r="D71" s="68" t="s">
        <v>231</v>
      </c>
      <c r="E71" s="67" t="s">
        <v>147</v>
      </c>
      <c r="G71" s="68">
        <v>1</v>
      </c>
      <c r="N71" s="154"/>
      <c r="O71" s="154"/>
      <c r="P71" s="154"/>
      <c r="Q71" s="154"/>
    </row>
    <row r="72" spans="3:17" s="67" customFormat="1" x14ac:dyDescent="0.55000000000000004">
      <c r="D72" s="68" t="s">
        <v>232</v>
      </c>
      <c r="E72" s="67" t="s">
        <v>148</v>
      </c>
      <c r="G72" s="68">
        <v>3</v>
      </c>
      <c r="N72" s="154"/>
      <c r="O72" s="154"/>
      <c r="P72" s="154"/>
      <c r="Q72" s="154"/>
    </row>
    <row r="73" spans="3:17" s="67" customFormat="1" x14ac:dyDescent="0.55000000000000004">
      <c r="D73" s="68" t="s">
        <v>233</v>
      </c>
      <c r="E73" s="67" t="s">
        <v>149</v>
      </c>
      <c r="G73" s="68">
        <v>3</v>
      </c>
      <c r="N73" s="154"/>
      <c r="O73" s="154"/>
      <c r="P73" s="154"/>
      <c r="Q73" s="154"/>
    </row>
    <row r="74" spans="3:17" s="67" customFormat="1" x14ac:dyDescent="0.55000000000000004">
      <c r="D74" s="68" t="s">
        <v>234</v>
      </c>
      <c r="E74" s="67" t="s">
        <v>150</v>
      </c>
      <c r="G74" s="68">
        <v>1</v>
      </c>
      <c r="N74" s="154"/>
      <c r="O74" s="154"/>
      <c r="P74" s="154"/>
      <c r="Q74" s="154"/>
    </row>
    <row r="75" spans="3:17" s="67" customFormat="1" x14ac:dyDescent="0.55000000000000004">
      <c r="C75" s="67" t="s">
        <v>162</v>
      </c>
      <c r="E75" s="67" t="s">
        <v>71</v>
      </c>
      <c r="G75" s="68" t="s">
        <v>164</v>
      </c>
      <c r="N75" s="154"/>
      <c r="O75" s="154"/>
      <c r="P75" s="154"/>
      <c r="Q75" s="154"/>
    </row>
    <row r="76" spans="3:17" s="67" customFormat="1" x14ac:dyDescent="0.55000000000000004">
      <c r="D76" s="68" t="s">
        <v>235</v>
      </c>
      <c r="E76" s="67" t="s">
        <v>163</v>
      </c>
      <c r="G76" s="186">
        <v>4</v>
      </c>
      <c r="N76" s="154"/>
      <c r="O76" s="154"/>
      <c r="P76" s="154"/>
      <c r="Q76" s="154"/>
    </row>
    <row r="77" spans="3:17" s="67" customFormat="1" x14ac:dyDescent="0.55000000000000004">
      <c r="D77" s="68" t="s">
        <v>236</v>
      </c>
      <c r="E77" s="67" t="s">
        <v>165</v>
      </c>
      <c r="G77" s="186">
        <v>3</v>
      </c>
      <c r="N77" s="154"/>
      <c r="O77" s="154"/>
      <c r="P77" s="154"/>
      <c r="Q77" s="154"/>
    </row>
    <row r="78" spans="3:17" s="67" customFormat="1" x14ac:dyDescent="0.55000000000000004">
      <c r="D78" s="68" t="s">
        <v>237</v>
      </c>
      <c r="E78" s="67" t="s">
        <v>166</v>
      </c>
      <c r="G78" s="186">
        <v>3</v>
      </c>
      <c r="N78" s="154"/>
      <c r="O78" s="154"/>
      <c r="P78" s="154"/>
      <c r="Q78" s="154"/>
    </row>
    <row r="79" spans="3:17" s="67" customFormat="1" x14ac:dyDescent="0.55000000000000004">
      <c r="D79" s="68" t="s">
        <v>238</v>
      </c>
      <c r="E79" s="67" t="s">
        <v>167</v>
      </c>
      <c r="G79" s="186">
        <v>2</v>
      </c>
      <c r="N79" s="154"/>
      <c r="O79" s="154"/>
      <c r="P79" s="154"/>
      <c r="Q79" s="154"/>
    </row>
    <row r="80" spans="3:17" s="67" customFormat="1" x14ac:dyDescent="0.55000000000000004">
      <c r="D80" s="68" t="s">
        <v>239</v>
      </c>
      <c r="E80" s="67" t="s">
        <v>168</v>
      </c>
      <c r="G80" s="186">
        <v>2</v>
      </c>
      <c r="N80" s="154"/>
      <c r="O80" s="154"/>
      <c r="P80" s="154"/>
      <c r="Q80" s="154"/>
    </row>
    <row r="81" spans="1:17" s="67" customFormat="1" x14ac:dyDescent="0.55000000000000004">
      <c r="D81" s="68" t="s">
        <v>240</v>
      </c>
      <c r="E81" s="67" t="s">
        <v>169</v>
      </c>
      <c r="G81" s="186">
        <v>1</v>
      </c>
      <c r="N81" s="154"/>
      <c r="O81" s="154"/>
      <c r="P81" s="154"/>
      <c r="Q81" s="154"/>
    </row>
    <row r="82" spans="1:17" s="67" customFormat="1" x14ac:dyDescent="0.55000000000000004">
      <c r="D82" s="68" t="s">
        <v>241</v>
      </c>
      <c r="E82" s="67" t="s">
        <v>170</v>
      </c>
      <c r="G82" s="186">
        <v>3</v>
      </c>
      <c r="N82" s="154"/>
      <c r="O82" s="154"/>
      <c r="P82" s="154"/>
      <c r="Q82" s="154"/>
    </row>
    <row r="83" spans="1:17" s="67" customFormat="1" x14ac:dyDescent="0.55000000000000004">
      <c r="D83" s="68" t="s">
        <v>242</v>
      </c>
      <c r="E83" s="67" t="s">
        <v>171</v>
      </c>
      <c r="G83" s="186">
        <v>2</v>
      </c>
      <c r="N83" s="154"/>
      <c r="O83" s="154"/>
      <c r="P83" s="154"/>
      <c r="Q83" s="154"/>
    </row>
    <row r="84" spans="1:17" s="67" customFormat="1" x14ac:dyDescent="0.55000000000000004">
      <c r="A84" s="67" t="s">
        <v>224</v>
      </c>
      <c r="B84" s="67" t="s">
        <v>282</v>
      </c>
      <c r="N84" s="154"/>
      <c r="O84" s="154"/>
      <c r="P84" s="154"/>
      <c r="Q84" s="154"/>
    </row>
    <row r="85" spans="1:17" s="67" customFormat="1" x14ac:dyDescent="0.55000000000000004">
      <c r="C85" s="67" t="s">
        <v>71</v>
      </c>
      <c r="D85" s="68" t="s">
        <v>283</v>
      </c>
      <c r="E85" s="67" t="s">
        <v>177</v>
      </c>
      <c r="N85" s="154"/>
      <c r="O85" s="154"/>
      <c r="P85" s="154"/>
      <c r="Q85" s="154"/>
    </row>
    <row r="86" spans="1:17" s="67" customFormat="1" x14ac:dyDescent="0.55000000000000004">
      <c r="D86" s="68" t="s">
        <v>284</v>
      </c>
      <c r="E86" s="67" t="s">
        <v>178</v>
      </c>
      <c r="N86" s="154"/>
      <c r="O86" s="154"/>
      <c r="P86" s="154"/>
      <c r="Q86" s="154"/>
    </row>
    <row r="87" spans="1:17" s="67" customFormat="1" x14ac:dyDescent="0.55000000000000004">
      <c r="A87" s="67" t="s">
        <v>224</v>
      </c>
      <c r="B87" s="67" t="s">
        <v>38</v>
      </c>
      <c r="N87" s="154"/>
      <c r="O87" s="154"/>
      <c r="P87" s="154"/>
      <c r="Q87" s="154"/>
    </row>
    <row r="88" spans="1:17" s="67" customFormat="1" x14ac:dyDescent="0.55000000000000004">
      <c r="C88" s="67" t="s">
        <v>333</v>
      </c>
      <c r="D88" s="68" t="s">
        <v>335</v>
      </c>
      <c r="E88" s="67" t="s">
        <v>334</v>
      </c>
      <c r="N88" s="154"/>
      <c r="O88" s="154"/>
      <c r="P88" s="154"/>
      <c r="Q88" s="154"/>
    </row>
    <row r="89" spans="1:17" s="67" customFormat="1" x14ac:dyDescent="0.55000000000000004">
      <c r="D89" s="68" t="s">
        <v>336</v>
      </c>
      <c r="E89" s="67" t="s">
        <v>338</v>
      </c>
      <c r="N89" s="154"/>
      <c r="O89" s="154"/>
      <c r="P89" s="154"/>
      <c r="Q89" s="154"/>
    </row>
    <row r="90" spans="1:17" s="67" customFormat="1" x14ac:dyDescent="0.55000000000000004">
      <c r="D90" s="68" t="s">
        <v>337</v>
      </c>
      <c r="E90" s="67" t="s">
        <v>339</v>
      </c>
      <c r="N90" s="154"/>
      <c r="O90" s="154"/>
      <c r="P90" s="154"/>
      <c r="Q90" s="154"/>
    </row>
    <row r="91" spans="1:17" s="67" customFormat="1" x14ac:dyDescent="0.55000000000000004">
      <c r="N91" s="154"/>
      <c r="O91" s="154"/>
      <c r="P91" s="154"/>
      <c r="Q91" s="187"/>
    </row>
    <row r="92" spans="1:17" x14ac:dyDescent="0.55000000000000004">
      <c r="Q92" s="140"/>
    </row>
  </sheetData>
  <sheetProtection algorithmName="SHA-512" hashValue="BnMY5VijtDrgmUY3nGHy8NI0Gl+YlZpWsUmRfkpchDH0BcJbOwwvEFvPneXk/E3x5NO0plOCUzdduNhA151ieg==" saltValue="G24wJ7v35pPtANCkvzMNxw==" spinCount="100000" sheet="1" objects="1" scenarios="1" selectLockedCells="1"/>
  <mergeCells count="13">
    <mergeCell ref="G8:I8"/>
    <mergeCell ref="A2:L2"/>
    <mergeCell ref="C6:E6"/>
    <mergeCell ref="K6:L6"/>
    <mergeCell ref="C8:E8"/>
    <mergeCell ref="G7:I7"/>
    <mergeCell ref="I6:J6"/>
    <mergeCell ref="I5:K5"/>
    <mergeCell ref="A7:B7"/>
    <mergeCell ref="A5:B5"/>
    <mergeCell ref="A6:B6"/>
    <mergeCell ref="A8:B8"/>
    <mergeCell ref="C7:E7"/>
  </mergeCells>
  <dataValidations count="4">
    <dataValidation type="list" allowBlank="1" showInputMessage="1" showErrorMessage="1" sqref="C5">
      <formula1>$A$12:$A$13</formula1>
    </dataValidation>
    <dataValidation type="list" allowBlank="1" showInputMessage="1" showErrorMessage="1" sqref="G6">
      <formula1>$C$12:$C$15</formula1>
    </dataValidation>
    <dataValidation type="list" allowBlank="1" showInputMessage="1" showErrorMessage="1" sqref="K6">
      <formula1>$E$12:$E$15</formula1>
    </dataValidation>
    <dataValidation type="list" allowBlank="1" showInputMessage="1" showErrorMessage="1" sqref="C7">
      <formula1>$G$12:$G$23</formula1>
    </dataValidation>
  </dataValidations>
  <pageMargins left="0.47" right="0.41" top="0.75" bottom="0.75" header="0.3" footer="0.3"/>
  <pageSetup scale="6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D40"/>
  <sheetViews>
    <sheetView zoomScaleNormal="100" workbookViewId="0">
      <selection activeCell="B8" sqref="B8:D8"/>
    </sheetView>
  </sheetViews>
  <sheetFormatPr defaultRowHeight="24" x14ac:dyDescent="0.55000000000000004"/>
  <cols>
    <col min="1" max="1" width="3.875" style="1" customWidth="1"/>
    <col min="2" max="3" width="9" style="1"/>
    <col min="4" max="4" width="23.125" style="1" customWidth="1"/>
    <col min="5" max="9" width="9" style="1"/>
    <col min="10" max="10" width="7.875" style="1" customWidth="1"/>
    <col min="11" max="12" width="9" style="1"/>
    <col min="13" max="30" width="0" style="31" hidden="1" customWidth="1"/>
    <col min="31" max="32" width="0" style="1" hidden="1" customWidth="1"/>
    <col min="33" max="16384" width="9" style="1"/>
  </cols>
  <sheetData>
    <row r="1" spans="1:30" ht="26.25" customHeight="1" x14ac:dyDescent="0.7">
      <c r="A1" s="286" t="s">
        <v>70</v>
      </c>
      <c r="B1" s="286"/>
      <c r="C1" s="286"/>
      <c r="D1" s="286"/>
      <c r="E1" s="286"/>
      <c r="F1" s="286"/>
      <c r="G1" s="286"/>
      <c r="H1" s="286"/>
      <c r="I1" s="45">
        <f>DataSet!F5</f>
        <v>0</v>
      </c>
      <c r="K1" s="46"/>
      <c r="L1" s="46"/>
    </row>
    <row r="2" spans="1:30" ht="26.25" customHeight="1" x14ac:dyDescent="0.55000000000000004">
      <c r="A2" s="285" t="s">
        <v>55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30" ht="9.75" customHeight="1" thickBot="1" x14ac:dyDescent="0.6"/>
    <row r="4" spans="1:30" ht="31.5" thickBot="1" x14ac:dyDescent="0.75">
      <c r="A4" s="309" t="s">
        <v>222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1"/>
    </row>
    <row r="5" spans="1:30" ht="7.5" customHeight="1" thickBot="1" x14ac:dyDescent="0.75">
      <c r="A5" s="291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3"/>
    </row>
    <row r="6" spans="1:30" s="29" customFormat="1" ht="30.75" x14ac:dyDescent="0.7">
      <c r="A6" s="289" t="s">
        <v>57</v>
      </c>
      <c r="B6" s="287"/>
      <c r="C6" s="287"/>
      <c r="D6" s="287"/>
      <c r="E6" s="287"/>
      <c r="F6" s="287"/>
      <c r="G6" s="287"/>
      <c r="H6" s="290" t="s">
        <v>62</v>
      </c>
      <c r="I6" s="290"/>
      <c r="J6" s="69">
        <f>SUM(L8:L13)</f>
        <v>0</v>
      </c>
      <c r="K6" s="287" t="s">
        <v>345</v>
      </c>
      <c r="L6" s="288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 s="44" customFormat="1" x14ac:dyDescent="0.55000000000000004">
      <c r="A7" s="53" t="s">
        <v>153</v>
      </c>
      <c r="B7" s="306" t="s">
        <v>58</v>
      </c>
      <c r="C7" s="307"/>
      <c r="D7" s="308"/>
      <c r="E7" s="136" t="s">
        <v>59</v>
      </c>
      <c r="F7" s="136" t="s">
        <v>60</v>
      </c>
      <c r="G7" s="136" t="s">
        <v>61</v>
      </c>
      <c r="H7" s="306" t="s">
        <v>154</v>
      </c>
      <c r="I7" s="307"/>
      <c r="J7" s="308"/>
      <c r="K7" s="136" t="s">
        <v>85</v>
      </c>
      <c r="L7" s="26" t="s">
        <v>68</v>
      </c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</row>
    <row r="8" spans="1:30" x14ac:dyDescent="0.55000000000000004">
      <c r="A8" s="54">
        <v>1</v>
      </c>
      <c r="B8" s="312"/>
      <c r="C8" s="313"/>
      <c r="D8" s="314"/>
      <c r="E8" s="20"/>
      <c r="F8" s="20"/>
      <c r="G8" s="20"/>
      <c r="H8" s="297" t="s">
        <v>346</v>
      </c>
      <c r="I8" s="298"/>
      <c r="J8" s="299"/>
      <c r="K8" s="130"/>
      <c r="L8" s="27" t="str">
        <f>IF(B8= 0, " ", IF(K8= DataSet!E25,0, IF(F8&lt;10, (G8*0.25)/E8, IF(F8&lt;=50, G8/E8, IF(F8&gt;50, (G8*1.25)/E8, 0)))))</f>
        <v xml:space="preserve"> </v>
      </c>
    </row>
    <row r="9" spans="1:30" x14ac:dyDescent="0.55000000000000004">
      <c r="A9" s="54">
        <v>2</v>
      </c>
      <c r="B9" s="312"/>
      <c r="C9" s="313"/>
      <c r="D9" s="314"/>
      <c r="E9" s="96"/>
      <c r="F9" s="96"/>
      <c r="G9" s="96"/>
      <c r="H9" s="300"/>
      <c r="I9" s="301"/>
      <c r="J9" s="302"/>
      <c r="K9" s="130"/>
      <c r="L9" s="27" t="str">
        <f>IF(B9= 0, " ", IF(K9= DataSet!E25, 0, IF(F9&lt;10, (G9*0.25)/E9, IF(F9&lt;=50, G9/E9, IF(F9&gt;50, (G9*1.25)/E9, 0)))))</f>
        <v xml:space="preserve"> </v>
      </c>
    </row>
    <row r="10" spans="1:30" x14ac:dyDescent="0.55000000000000004">
      <c r="A10" s="54">
        <v>3</v>
      </c>
      <c r="B10" s="312"/>
      <c r="C10" s="313"/>
      <c r="D10" s="314"/>
      <c r="E10" s="96"/>
      <c r="F10" s="96"/>
      <c r="G10" s="96"/>
      <c r="H10" s="300"/>
      <c r="I10" s="301"/>
      <c r="J10" s="302"/>
      <c r="K10" s="130"/>
      <c r="L10" s="27" t="str">
        <f>IF(B10= 0, " ", IF(K10= DataSet!E25, 0, IF(F10&lt;10, (G10*0.25)/E10, IF(F10&lt;=50, G10/E10, IF(F10&gt;50, (G10*1.25)/E10, 0)))))</f>
        <v xml:space="preserve"> </v>
      </c>
    </row>
    <row r="11" spans="1:30" x14ac:dyDescent="0.55000000000000004">
      <c r="A11" s="54">
        <v>4</v>
      </c>
      <c r="B11" s="312"/>
      <c r="C11" s="313"/>
      <c r="D11" s="314"/>
      <c r="E11" s="96"/>
      <c r="F11" s="96"/>
      <c r="G11" s="96"/>
      <c r="H11" s="300"/>
      <c r="I11" s="301"/>
      <c r="J11" s="302"/>
      <c r="K11" s="130"/>
      <c r="L11" s="27" t="str">
        <f>IF(B11= 0," ", IF(K11= DataSet!E25, 0, IF(F11&lt;10, (G11*0.25)/E11, IF(F11&lt;=50, G11/E11, IF(F11&gt;50, (G11*1.25)/E11,0)))))</f>
        <v xml:space="preserve"> </v>
      </c>
    </row>
    <row r="12" spans="1:30" x14ac:dyDescent="0.55000000000000004">
      <c r="A12" s="54">
        <v>5</v>
      </c>
      <c r="B12" s="312"/>
      <c r="C12" s="313"/>
      <c r="D12" s="314"/>
      <c r="E12" s="96"/>
      <c r="F12" s="96"/>
      <c r="G12" s="96"/>
      <c r="H12" s="300"/>
      <c r="I12" s="301"/>
      <c r="J12" s="302"/>
      <c r="K12" s="130"/>
      <c r="L12" s="27" t="str">
        <f>IF(B12= 0, " ", IF(K12= DataSet!E25, 0, IF(F12&lt;10, (G12*0.25)/E12, IF(F12&lt;=50, G12/E12, IF(F12&gt;50, (G12*1.25)/E12, 0)))))</f>
        <v xml:space="preserve"> </v>
      </c>
    </row>
    <row r="13" spans="1:30" ht="24.75" thickBot="1" x14ac:dyDescent="0.6">
      <c r="A13" s="55">
        <v>6</v>
      </c>
      <c r="B13" s="294"/>
      <c r="C13" s="295"/>
      <c r="D13" s="296"/>
      <c r="E13" s="97"/>
      <c r="F13" s="97"/>
      <c r="G13" s="97"/>
      <c r="H13" s="303"/>
      <c r="I13" s="304"/>
      <c r="J13" s="305"/>
      <c r="K13" s="131"/>
      <c r="L13" s="28" t="str">
        <f>IF(B13= 0, " ", IF(K13= DataSet!E25, 0, IF(F13&lt;10, (G13*0.25)/E13, IF(F13&lt;=50, G13/E13, IF(F13&gt;50, (G13*1.25)/E13, 0)))))</f>
        <v xml:space="preserve"> </v>
      </c>
    </row>
    <row r="15" spans="1:30" s="140" customFormat="1" x14ac:dyDescent="0.55000000000000004"/>
    <row r="16" spans="1:30" s="140" customFormat="1" x14ac:dyDescent="0.55000000000000004"/>
    <row r="17" spans="5:5" s="140" customFormat="1" ht="27.75" x14ac:dyDescent="0.65">
      <c r="E17" s="143"/>
    </row>
    <row r="18" spans="5:5" s="140" customFormat="1" x14ac:dyDescent="0.55000000000000004">
      <c r="E18" s="144"/>
    </row>
    <row r="19" spans="5:5" s="140" customFormat="1" x14ac:dyDescent="0.55000000000000004"/>
    <row r="20" spans="5:5" s="140" customFormat="1" x14ac:dyDescent="0.55000000000000004"/>
    <row r="21" spans="5:5" s="140" customFormat="1" x14ac:dyDescent="0.55000000000000004"/>
    <row r="22" spans="5:5" s="31" customFormat="1" x14ac:dyDescent="0.55000000000000004"/>
    <row r="23" spans="5:5" s="31" customFormat="1" x14ac:dyDescent="0.55000000000000004"/>
    <row r="24" spans="5:5" s="31" customFormat="1" x14ac:dyDescent="0.55000000000000004"/>
    <row r="25" spans="5:5" s="31" customFormat="1" x14ac:dyDescent="0.55000000000000004"/>
    <row r="26" spans="5:5" s="31" customFormat="1" x14ac:dyDescent="0.55000000000000004"/>
    <row r="27" spans="5:5" s="31" customFormat="1" x14ac:dyDescent="0.55000000000000004"/>
    <row r="28" spans="5:5" s="31" customFormat="1" x14ac:dyDescent="0.55000000000000004"/>
    <row r="29" spans="5:5" s="31" customFormat="1" x14ac:dyDescent="0.55000000000000004"/>
    <row r="30" spans="5:5" s="31" customFormat="1" x14ac:dyDescent="0.55000000000000004"/>
    <row r="31" spans="5:5" s="31" customFormat="1" x14ac:dyDescent="0.55000000000000004"/>
    <row r="32" spans="5:5" s="31" customFormat="1" x14ac:dyDescent="0.55000000000000004"/>
    <row r="33" s="31" customFormat="1" x14ac:dyDescent="0.55000000000000004"/>
    <row r="34" s="31" customFormat="1" x14ac:dyDescent="0.55000000000000004"/>
    <row r="35" s="31" customFormat="1" x14ac:dyDescent="0.55000000000000004"/>
    <row r="36" s="31" customFormat="1" x14ac:dyDescent="0.55000000000000004"/>
    <row r="37" s="31" customFormat="1" x14ac:dyDescent="0.55000000000000004"/>
    <row r="38" s="31" customFormat="1" x14ac:dyDescent="0.55000000000000004"/>
    <row r="39" s="31" customFormat="1" x14ac:dyDescent="0.55000000000000004"/>
    <row r="40" s="31" customFormat="1" x14ac:dyDescent="0.55000000000000004"/>
  </sheetData>
  <sheetProtection algorithmName="SHA-512" hashValue="qjUNqTDsGE49ro6co7gsvOS652SZ0gsw9MDNYNKO/5siUv1VvsrxgaZ3aIKGRfgKtc1MLZPcDfervDP7+AwpBQ==" saltValue="Nw6swrp7Q3db1BDIoGSZsA==" spinCount="100000" sheet="1" objects="1" scenarios="1" selectLockedCells="1"/>
  <mergeCells count="16">
    <mergeCell ref="B13:D13"/>
    <mergeCell ref="H8:J13"/>
    <mergeCell ref="H7:J7"/>
    <mergeCell ref="A4:L4"/>
    <mergeCell ref="B7:D7"/>
    <mergeCell ref="B8:D8"/>
    <mergeCell ref="B9:D9"/>
    <mergeCell ref="B10:D10"/>
    <mergeCell ref="B11:D11"/>
    <mergeCell ref="B12:D12"/>
    <mergeCell ref="A2:L2"/>
    <mergeCell ref="A1:H1"/>
    <mergeCell ref="K6:L6"/>
    <mergeCell ref="A6:G6"/>
    <mergeCell ref="H6:I6"/>
    <mergeCell ref="A5:L5"/>
  </mergeCells>
  <conditionalFormatting sqref="J6">
    <cfRule type="cellIs" dxfId="17" priority="1" operator="greaterThan">
      <formula>0</formula>
    </cfRule>
  </conditionalFormatting>
  <pageMargins left="0.39" right="0.35" top="0.52" bottom="0.34" header="0.3" footer="0.3"/>
  <pageSetup scale="8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DataSet!$E$24:$E$25</xm:f>
          </x14:formula1>
          <xm:sqref>K8:K13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06EA"/>
    <pageSetUpPr fitToPage="1"/>
  </sheetPr>
  <dimension ref="A1:S114"/>
  <sheetViews>
    <sheetView zoomScaleNormal="100" workbookViewId="0">
      <selection activeCell="B10" sqref="B10:E10"/>
    </sheetView>
  </sheetViews>
  <sheetFormatPr defaultRowHeight="24" x14ac:dyDescent="0.55000000000000004"/>
  <cols>
    <col min="1" max="1" width="3.875" style="1" customWidth="1"/>
    <col min="2" max="3" width="9" style="1"/>
    <col min="4" max="4" width="23.875" style="1" customWidth="1"/>
    <col min="5" max="5" width="8.875" style="1" customWidth="1"/>
    <col min="6" max="12" width="9" style="1"/>
    <col min="13" max="13" width="0" style="1" hidden="1" customWidth="1"/>
    <col min="14" max="19" width="0" style="31" hidden="1" customWidth="1"/>
    <col min="20" max="26" width="0" style="1" hidden="1" customWidth="1"/>
    <col min="27" max="16384" width="9" style="1"/>
  </cols>
  <sheetData>
    <row r="1" spans="1:19" ht="26.25" customHeight="1" x14ac:dyDescent="0.7">
      <c r="A1" s="286" t="s">
        <v>70</v>
      </c>
      <c r="B1" s="286"/>
      <c r="C1" s="286"/>
      <c r="D1" s="286"/>
      <c r="E1" s="286"/>
      <c r="F1" s="286"/>
      <c r="G1" s="286"/>
      <c r="H1" s="286"/>
      <c r="I1" s="45">
        <f>DataSet!F5</f>
        <v>0</v>
      </c>
      <c r="K1" s="46"/>
      <c r="L1" s="46"/>
    </row>
    <row r="2" spans="1:19" ht="26.25" customHeight="1" x14ac:dyDescent="0.55000000000000004">
      <c r="A2" s="285" t="s">
        <v>55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9" ht="9.75" customHeight="1" thickBot="1" x14ac:dyDescent="0.6"/>
    <row r="4" spans="1:19" ht="31.5" thickBot="1" x14ac:dyDescent="0.75">
      <c r="A4" s="337" t="s">
        <v>221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9"/>
    </row>
    <row r="5" spans="1:19" ht="7.5" customHeight="1" thickBot="1" x14ac:dyDescent="0.7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9" s="29" customFormat="1" ht="31.5" thickBot="1" x14ac:dyDescent="0.75">
      <c r="A6" s="340" t="s">
        <v>69</v>
      </c>
      <c r="B6" s="341"/>
      <c r="C6" s="341"/>
      <c r="D6" s="341"/>
      <c r="E6" s="341"/>
      <c r="F6" s="341"/>
      <c r="G6" s="341"/>
      <c r="H6" s="342" t="s">
        <v>77</v>
      </c>
      <c r="I6" s="342"/>
      <c r="J6" s="74">
        <f>SUM(J8,J16,J24,J32,J40,J51,J62)</f>
        <v>0</v>
      </c>
      <c r="K6" s="341" t="s">
        <v>345</v>
      </c>
      <c r="L6" s="343"/>
      <c r="S6" s="63"/>
    </row>
    <row r="7" spans="1:19" s="29" customFormat="1" ht="7.5" customHeight="1" thickBot="1" x14ac:dyDescent="0.75">
      <c r="A7" s="71"/>
      <c r="B7" s="71"/>
      <c r="C7" s="71"/>
      <c r="D7" s="71"/>
      <c r="E7" s="71"/>
      <c r="F7" s="71"/>
      <c r="G7" s="71"/>
      <c r="H7" s="72"/>
      <c r="I7" s="72"/>
      <c r="J7" s="73"/>
      <c r="K7" s="71"/>
      <c r="L7" s="71"/>
      <c r="S7" s="63"/>
    </row>
    <row r="8" spans="1:19" s="15" customFormat="1" ht="24.75" customHeight="1" thickBot="1" x14ac:dyDescent="0.6">
      <c r="A8" s="76" t="s">
        <v>155</v>
      </c>
      <c r="B8" s="77"/>
      <c r="C8" s="77"/>
      <c r="D8" s="77"/>
      <c r="E8" s="77"/>
      <c r="F8" s="77"/>
      <c r="G8" s="77"/>
      <c r="H8" s="361" t="s">
        <v>78</v>
      </c>
      <c r="I8" s="361"/>
      <c r="J8" s="78">
        <f>SUM(L10:L14)</f>
        <v>0</v>
      </c>
      <c r="K8" s="362" t="s">
        <v>345</v>
      </c>
      <c r="L8" s="363"/>
      <c r="S8" s="64"/>
    </row>
    <row r="9" spans="1:19" s="44" customFormat="1" ht="24.75" customHeight="1" x14ac:dyDescent="0.55000000000000004">
      <c r="A9" s="132" t="s">
        <v>153</v>
      </c>
      <c r="B9" s="344" t="s">
        <v>102</v>
      </c>
      <c r="C9" s="345"/>
      <c r="D9" s="345"/>
      <c r="E9" s="346"/>
      <c r="F9" s="344" t="s">
        <v>72</v>
      </c>
      <c r="G9" s="345"/>
      <c r="H9" s="345"/>
      <c r="I9" s="345"/>
      <c r="J9" s="346"/>
      <c r="K9" s="133" t="s">
        <v>85</v>
      </c>
      <c r="L9" s="79" t="s">
        <v>68</v>
      </c>
      <c r="S9" s="66"/>
    </row>
    <row r="10" spans="1:19" x14ac:dyDescent="0.55000000000000004">
      <c r="A10" s="54">
        <v>1</v>
      </c>
      <c r="B10" s="313"/>
      <c r="C10" s="313"/>
      <c r="D10" s="313"/>
      <c r="E10" s="314"/>
      <c r="F10" s="300" t="s">
        <v>156</v>
      </c>
      <c r="G10" s="301"/>
      <c r="H10" s="301"/>
      <c r="I10" s="301"/>
      <c r="J10" s="301"/>
      <c r="K10" s="128"/>
      <c r="L10" s="90" t="str">
        <f>IF(B10= 0, " ", IF(K10=DataSet!E25, 0, 3))</f>
        <v xml:space="preserve"> </v>
      </c>
    </row>
    <row r="11" spans="1:19" x14ac:dyDescent="0.55000000000000004">
      <c r="A11" s="54">
        <v>2</v>
      </c>
      <c r="B11" s="313"/>
      <c r="C11" s="313"/>
      <c r="D11" s="313"/>
      <c r="E11" s="314"/>
      <c r="F11" s="300" t="s">
        <v>75</v>
      </c>
      <c r="G11" s="301"/>
      <c r="H11" s="301"/>
      <c r="I11" s="301"/>
      <c r="J11" s="301"/>
      <c r="K11" s="128"/>
      <c r="L11" s="90" t="str">
        <f>IF(B11= 0, " ", IF(K11= DataSet!E25, 0, 3))</f>
        <v xml:space="preserve"> </v>
      </c>
    </row>
    <row r="12" spans="1:19" x14ac:dyDescent="0.55000000000000004">
      <c r="A12" s="54">
        <v>3</v>
      </c>
      <c r="B12" s="312"/>
      <c r="C12" s="313"/>
      <c r="D12" s="313"/>
      <c r="E12" s="314"/>
      <c r="F12" s="301" t="s">
        <v>159</v>
      </c>
      <c r="G12" s="301"/>
      <c r="H12" s="301"/>
      <c r="I12" s="301"/>
      <c r="J12" s="301"/>
      <c r="K12" s="128"/>
      <c r="L12" s="90" t="str">
        <f>IF(B12= 0, " ", IF(K12= DataSet!E25, 0, 3))</f>
        <v xml:space="preserve"> </v>
      </c>
    </row>
    <row r="13" spans="1:19" ht="24" customHeight="1" x14ac:dyDescent="0.55000000000000004">
      <c r="A13" s="54">
        <v>4</v>
      </c>
      <c r="B13" s="313"/>
      <c r="C13" s="313"/>
      <c r="D13" s="313"/>
      <c r="E13" s="314"/>
      <c r="F13" s="300" t="s">
        <v>157</v>
      </c>
      <c r="G13" s="301"/>
      <c r="H13" s="301"/>
      <c r="I13" s="301"/>
      <c r="J13" s="302"/>
      <c r="K13" s="128"/>
      <c r="L13" s="90" t="str">
        <f>IF(B13= 0, " ", IF(K13= DataSet!E25, 0, 3))</f>
        <v xml:space="preserve"> </v>
      </c>
    </row>
    <row r="14" spans="1:19" ht="24.75" thickBot="1" x14ac:dyDescent="0.6">
      <c r="A14" s="55">
        <v>5</v>
      </c>
      <c r="B14" s="295"/>
      <c r="C14" s="295"/>
      <c r="D14" s="295"/>
      <c r="E14" s="296"/>
      <c r="F14" s="303"/>
      <c r="G14" s="304"/>
      <c r="H14" s="304"/>
      <c r="I14" s="304"/>
      <c r="J14" s="305"/>
      <c r="K14" s="129"/>
      <c r="L14" s="95" t="str">
        <f>IF(B14= 0, " ", IF(K14= DataSet!E25, 0, 3))</f>
        <v xml:space="preserve"> </v>
      </c>
    </row>
    <row r="15" spans="1:19" s="29" customFormat="1" ht="7.5" customHeight="1" thickBot="1" x14ac:dyDescent="0.7">
      <c r="A15" s="347"/>
      <c r="B15" s="347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S15" s="63"/>
    </row>
    <row r="16" spans="1:19" s="15" customFormat="1" ht="24.75" customHeight="1" x14ac:dyDescent="0.55000000000000004">
      <c r="A16" s="56" t="s">
        <v>158</v>
      </c>
      <c r="B16" s="57"/>
      <c r="C16" s="57"/>
      <c r="D16" s="57"/>
      <c r="E16" s="57"/>
      <c r="F16" s="57"/>
      <c r="G16" s="57"/>
      <c r="H16" s="331" t="s">
        <v>78</v>
      </c>
      <c r="I16" s="331"/>
      <c r="J16" s="58">
        <f>SUM(L18:L22)</f>
        <v>0</v>
      </c>
      <c r="K16" s="332" t="s">
        <v>345</v>
      </c>
      <c r="L16" s="333"/>
      <c r="S16" s="64"/>
    </row>
    <row r="17" spans="1:19" s="44" customFormat="1" ht="24.75" customHeight="1" x14ac:dyDescent="0.55000000000000004">
      <c r="A17" s="53" t="s">
        <v>153</v>
      </c>
      <c r="B17" s="306" t="s">
        <v>102</v>
      </c>
      <c r="C17" s="307"/>
      <c r="D17" s="307"/>
      <c r="E17" s="308"/>
      <c r="F17" s="306" t="s">
        <v>72</v>
      </c>
      <c r="G17" s="307"/>
      <c r="H17" s="307"/>
      <c r="I17" s="307"/>
      <c r="J17" s="308"/>
      <c r="K17" s="3" t="s">
        <v>85</v>
      </c>
      <c r="L17" s="26" t="s">
        <v>68</v>
      </c>
      <c r="S17" s="66"/>
    </row>
    <row r="18" spans="1:19" x14ac:dyDescent="0.55000000000000004">
      <c r="A18" s="54">
        <v>1</v>
      </c>
      <c r="B18" s="313"/>
      <c r="C18" s="313"/>
      <c r="D18" s="313"/>
      <c r="E18" s="314"/>
      <c r="F18" s="334" t="s">
        <v>79</v>
      </c>
      <c r="G18" s="335"/>
      <c r="H18" s="335"/>
      <c r="I18" s="335"/>
      <c r="J18" s="336"/>
      <c r="K18" s="130"/>
      <c r="L18" s="27" t="str">
        <f>IF(B18= 0," ", IF(K18= DataSet!E25, 0, 6))</f>
        <v xml:space="preserve"> </v>
      </c>
    </row>
    <row r="19" spans="1:19" x14ac:dyDescent="0.55000000000000004">
      <c r="A19" s="54">
        <v>2</v>
      </c>
      <c r="B19" s="313"/>
      <c r="C19" s="313"/>
      <c r="D19" s="313"/>
      <c r="E19" s="314"/>
      <c r="F19" s="334" t="s">
        <v>73</v>
      </c>
      <c r="G19" s="335"/>
      <c r="H19" s="335"/>
      <c r="I19" s="335"/>
      <c r="J19" s="336"/>
      <c r="K19" s="130"/>
      <c r="L19" s="27" t="str">
        <f>IF(B19= 0, " ", IF(K19= DataSet!E25, 0, 6))</f>
        <v xml:space="preserve"> </v>
      </c>
    </row>
    <row r="20" spans="1:19" x14ac:dyDescent="0.55000000000000004">
      <c r="A20" s="54">
        <v>3</v>
      </c>
      <c r="B20" s="313"/>
      <c r="C20" s="313"/>
      <c r="D20" s="313"/>
      <c r="E20" s="314"/>
      <c r="F20" s="334" t="s">
        <v>74</v>
      </c>
      <c r="G20" s="335"/>
      <c r="H20" s="335"/>
      <c r="I20" s="335"/>
      <c r="J20" s="336"/>
      <c r="K20" s="130"/>
      <c r="L20" s="27" t="str">
        <f>IF(B20= 0," ", IF(K20= DataSet!E25, 0, 6))</f>
        <v xml:space="preserve"> </v>
      </c>
    </row>
    <row r="21" spans="1:19" x14ac:dyDescent="0.55000000000000004">
      <c r="A21" s="54">
        <v>4</v>
      </c>
      <c r="B21" s="313"/>
      <c r="C21" s="313"/>
      <c r="D21" s="313"/>
      <c r="E21" s="314"/>
      <c r="F21" s="334" t="s">
        <v>75</v>
      </c>
      <c r="G21" s="335"/>
      <c r="H21" s="335"/>
      <c r="I21" s="335"/>
      <c r="J21" s="336"/>
      <c r="K21" s="130"/>
      <c r="L21" s="27" t="str">
        <f>IF(B21= 0, " ", IF(K21= DataSet!E25, 0, 6))</f>
        <v xml:space="preserve"> </v>
      </c>
    </row>
    <row r="22" spans="1:19" ht="24.75" thickBot="1" x14ac:dyDescent="0.6">
      <c r="A22" s="55">
        <v>5</v>
      </c>
      <c r="B22" s="295"/>
      <c r="C22" s="295"/>
      <c r="D22" s="295"/>
      <c r="E22" s="296"/>
      <c r="F22" s="349" t="s">
        <v>76</v>
      </c>
      <c r="G22" s="350"/>
      <c r="H22" s="350"/>
      <c r="I22" s="350"/>
      <c r="J22" s="351"/>
      <c r="K22" s="131"/>
      <c r="L22" s="28" t="str">
        <f>IF(B22= 0, " ", IF(K22= DataSet!E25, 0, 6))</f>
        <v xml:space="preserve"> </v>
      </c>
    </row>
    <row r="23" spans="1:19" ht="7.5" customHeight="1" thickBot="1" x14ac:dyDescent="0.6">
      <c r="A23" s="49"/>
      <c r="B23" s="49"/>
      <c r="C23" s="49"/>
      <c r="D23" s="49"/>
      <c r="E23" s="50"/>
      <c r="F23" s="50"/>
      <c r="G23" s="50"/>
      <c r="H23" s="51"/>
      <c r="I23" s="49"/>
      <c r="J23" s="49"/>
      <c r="K23" s="49"/>
      <c r="L23" s="52"/>
    </row>
    <row r="24" spans="1:19" x14ac:dyDescent="0.55000000000000004">
      <c r="A24" s="56" t="s">
        <v>204</v>
      </c>
      <c r="B24" s="57"/>
      <c r="C24" s="57"/>
      <c r="D24" s="57"/>
      <c r="E24" s="57"/>
      <c r="F24" s="57"/>
      <c r="G24" s="57"/>
      <c r="H24" s="331" t="s">
        <v>78</v>
      </c>
      <c r="I24" s="331"/>
      <c r="J24" s="58">
        <f>SUM(L26:L30)</f>
        <v>0</v>
      </c>
      <c r="K24" s="332" t="s">
        <v>345</v>
      </c>
      <c r="L24" s="333"/>
    </row>
    <row r="25" spans="1:19" x14ac:dyDescent="0.55000000000000004">
      <c r="A25" s="53" t="s">
        <v>153</v>
      </c>
      <c r="B25" s="306" t="s">
        <v>102</v>
      </c>
      <c r="C25" s="307"/>
      <c r="D25" s="308"/>
      <c r="E25" s="8" t="s">
        <v>115</v>
      </c>
      <c r="F25" s="4" t="s">
        <v>83</v>
      </c>
      <c r="G25" s="348" t="s">
        <v>72</v>
      </c>
      <c r="H25" s="348"/>
      <c r="I25" s="348"/>
      <c r="J25" s="348"/>
      <c r="K25" s="2" t="s">
        <v>85</v>
      </c>
      <c r="L25" s="59" t="s">
        <v>68</v>
      </c>
    </row>
    <row r="26" spans="1:19" x14ac:dyDescent="0.55000000000000004">
      <c r="A26" s="60">
        <v>1</v>
      </c>
      <c r="B26" s="355"/>
      <c r="C26" s="356"/>
      <c r="D26" s="357"/>
      <c r="E26" s="20"/>
      <c r="F26" s="20"/>
      <c r="G26" s="318" t="s">
        <v>80</v>
      </c>
      <c r="H26" s="318"/>
      <c r="I26" s="318"/>
      <c r="J26" s="319"/>
      <c r="K26" s="128"/>
      <c r="L26" s="27" t="str">
        <f>IF(B26= 0," ", IF(K26= DataSet!E25, 0, (24/F26)*E26))</f>
        <v xml:space="preserve"> </v>
      </c>
    </row>
    <row r="27" spans="1:19" x14ac:dyDescent="0.55000000000000004">
      <c r="A27" s="60">
        <v>2</v>
      </c>
      <c r="B27" s="355"/>
      <c r="C27" s="356"/>
      <c r="D27" s="357"/>
      <c r="E27" s="20"/>
      <c r="F27" s="20"/>
      <c r="G27" s="325" t="s">
        <v>81</v>
      </c>
      <c r="H27" s="325"/>
      <c r="I27" s="325"/>
      <c r="J27" s="330"/>
      <c r="K27" s="128"/>
      <c r="L27" s="27" t="str">
        <f>IF(B27= 0, " ", IF(K27= DataSet!E25, 0, (24/F27)*E27))</f>
        <v xml:space="preserve"> </v>
      </c>
    </row>
    <row r="28" spans="1:19" x14ac:dyDescent="0.55000000000000004">
      <c r="A28" s="60">
        <v>3</v>
      </c>
      <c r="B28" s="355"/>
      <c r="C28" s="356"/>
      <c r="D28" s="357"/>
      <c r="E28" s="20"/>
      <c r="F28" s="20"/>
      <c r="G28" s="318" t="s">
        <v>82</v>
      </c>
      <c r="H28" s="318"/>
      <c r="I28" s="318"/>
      <c r="J28" s="319"/>
      <c r="K28" s="128"/>
      <c r="L28" s="27" t="str">
        <f>IF(B28= 0, " ", IF(K28= DataSet!E25, 0, (24/F28)*E28))</f>
        <v xml:space="preserve"> </v>
      </c>
    </row>
    <row r="29" spans="1:19" x14ac:dyDescent="0.55000000000000004">
      <c r="A29" s="60">
        <v>4</v>
      </c>
      <c r="B29" s="355"/>
      <c r="C29" s="356"/>
      <c r="D29" s="357"/>
      <c r="E29" s="20"/>
      <c r="F29" s="20"/>
      <c r="G29" s="318" t="s">
        <v>84</v>
      </c>
      <c r="H29" s="318"/>
      <c r="I29" s="318"/>
      <c r="J29" s="319"/>
      <c r="K29" s="128"/>
      <c r="L29" s="27" t="str">
        <f>IF(B29= 0, " ", IF(K29=DataSet!E25, 0, (24/F29)*E29))</f>
        <v xml:space="preserve"> </v>
      </c>
    </row>
    <row r="30" spans="1:19" ht="24.75" thickBot="1" x14ac:dyDescent="0.6">
      <c r="A30" s="61">
        <v>5</v>
      </c>
      <c r="B30" s="358"/>
      <c r="C30" s="359"/>
      <c r="D30" s="360"/>
      <c r="E30" s="22"/>
      <c r="F30" s="22"/>
      <c r="G30" s="322" t="s">
        <v>160</v>
      </c>
      <c r="H30" s="323"/>
      <c r="I30" s="323"/>
      <c r="J30" s="324"/>
      <c r="K30" s="129"/>
      <c r="L30" s="28" t="str">
        <f>IF(B30= 0, " ", IF(K30=DataSet!E25, 0, (24/F30)*E30))</f>
        <v xml:space="preserve"> </v>
      </c>
    </row>
    <row r="31" spans="1:19" ht="7.5" customHeight="1" thickBot="1" x14ac:dyDescent="0.6"/>
    <row r="32" spans="1:19" x14ac:dyDescent="0.55000000000000004">
      <c r="A32" s="56" t="s">
        <v>173</v>
      </c>
      <c r="B32" s="57"/>
      <c r="C32" s="57"/>
      <c r="D32" s="57"/>
      <c r="E32" s="57"/>
      <c r="F32" s="57"/>
      <c r="G32" s="57"/>
      <c r="H32" s="331" t="s">
        <v>78</v>
      </c>
      <c r="I32" s="331"/>
      <c r="J32" s="58">
        <f>SUM(L34:L38)</f>
        <v>0</v>
      </c>
      <c r="K32" s="332" t="s">
        <v>345</v>
      </c>
      <c r="L32" s="333"/>
    </row>
    <row r="33" spans="1:12" x14ac:dyDescent="0.55000000000000004">
      <c r="A33" s="53" t="s">
        <v>153</v>
      </c>
      <c r="B33" s="306" t="s">
        <v>102</v>
      </c>
      <c r="C33" s="307"/>
      <c r="D33" s="308"/>
      <c r="E33" s="8" t="s">
        <v>90</v>
      </c>
      <c r="F33" s="8" t="s">
        <v>88</v>
      </c>
      <c r="G33" s="348" t="s">
        <v>72</v>
      </c>
      <c r="H33" s="348"/>
      <c r="I33" s="348"/>
      <c r="J33" s="348"/>
      <c r="K33" s="2" t="s">
        <v>85</v>
      </c>
      <c r="L33" s="59" t="s">
        <v>68</v>
      </c>
    </row>
    <row r="34" spans="1:12" x14ac:dyDescent="0.55000000000000004">
      <c r="A34" s="54">
        <v>1</v>
      </c>
      <c r="B34" s="312"/>
      <c r="C34" s="313"/>
      <c r="D34" s="314"/>
      <c r="E34" s="20"/>
      <c r="F34" s="20"/>
      <c r="G34" s="352" t="s">
        <v>86</v>
      </c>
      <c r="H34" s="318"/>
      <c r="I34" s="318"/>
      <c r="J34" s="319"/>
      <c r="K34" s="128"/>
      <c r="L34" s="27" t="str">
        <f>IF(B34= 0," ", IF(K34= DataSet!E25, 0, IF(F34= DataSet!E29, ((5*E34)/100), ((7*E34)/100))))</f>
        <v xml:space="preserve"> </v>
      </c>
    </row>
    <row r="35" spans="1:12" x14ac:dyDescent="0.55000000000000004">
      <c r="A35" s="54">
        <v>2</v>
      </c>
      <c r="B35" s="312"/>
      <c r="C35" s="313"/>
      <c r="D35" s="314"/>
      <c r="E35" s="20"/>
      <c r="F35" s="20"/>
      <c r="G35" s="353" t="s">
        <v>87</v>
      </c>
      <c r="H35" s="353"/>
      <c r="I35" s="353"/>
      <c r="J35" s="354"/>
      <c r="K35" s="128"/>
      <c r="L35" s="27" t="str">
        <f>IF(B35= 0," ", IF(K35= DataSet!E25, 0, IF(F35=DataSet!E29, ((5*E35)/100), ((7*E35)/100))))</f>
        <v xml:space="preserve"> </v>
      </c>
    </row>
    <row r="36" spans="1:12" x14ac:dyDescent="0.55000000000000004">
      <c r="A36" s="54">
        <v>3</v>
      </c>
      <c r="B36" s="312"/>
      <c r="C36" s="313"/>
      <c r="D36" s="314"/>
      <c r="E36" s="20"/>
      <c r="F36" s="20"/>
      <c r="G36" s="318" t="s">
        <v>92</v>
      </c>
      <c r="H36" s="318"/>
      <c r="I36" s="318"/>
      <c r="J36" s="319"/>
      <c r="K36" s="128"/>
      <c r="L36" s="27" t="str">
        <f>IF(B36= 0," ", IF(K36= DataSet!E25, 0, IF(F36= DataSet!E29, ((5*E36)/100), ((7*E36)/100))))</f>
        <v xml:space="preserve"> </v>
      </c>
    </row>
    <row r="37" spans="1:12" x14ac:dyDescent="0.55000000000000004">
      <c r="A37" s="54">
        <v>4</v>
      </c>
      <c r="B37" s="312"/>
      <c r="C37" s="313"/>
      <c r="D37" s="314"/>
      <c r="E37" s="20"/>
      <c r="F37" s="20"/>
      <c r="G37" s="318" t="s">
        <v>93</v>
      </c>
      <c r="H37" s="318"/>
      <c r="I37" s="318"/>
      <c r="J37" s="319"/>
      <c r="K37" s="128"/>
      <c r="L37" s="27" t="str">
        <f>IF(B37= 0, " ", IF(K37= DataSet!E25, 0, IF(F37= DataSet!E29, ((5*E37)/100), ((7*E37)/100))))</f>
        <v xml:space="preserve"> </v>
      </c>
    </row>
    <row r="38" spans="1:12" ht="24.75" thickBot="1" x14ac:dyDescent="0.6">
      <c r="A38" s="55">
        <v>5</v>
      </c>
      <c r="B38" s="294"/>
      <c r="C38" s="295"/>
      <c r="D38" s="296"/>
      <c r="E38" s="22"/>
      <c r="F38" s="22"/>
      <c r="G38" s="322" t="s">
        <v>94</v>
      </c>
      <c r="H38" s="323"/>
      <c r="I38" s="323"/>
      <c r="J38" s="324"/>
      <c r="K38" s="129"/>
      <c r="L38" s="28" t="str">
        <f>IF(B38= 0, " ", IF(K38= DataSet!E25, 0, IF(F38= DataSet!E29, ((5*E38)/100), ((7*E38)/100))))</f>
        <v xml:space="preserve"> </v>
      </c>
    </row>
    <row r="39" spans="1:12" ht="7.5" customHeight="1" thickBot="1" x14ac:dyDescent="0.6"/>
    <row r="40" spans="1:12" x14ac:dyDescent="0.55000000000000004">
      <c r="A40" s="56" t="s">
        <v>174</v>
      </c>
      <c r="B40" s="57"/>
      <c r="C40" s="57"/>
      <c r="D40" s="57"/>
      <c r="E40" s="57"/>
      <c r="F40" s="57"/>
      <c r="G40" s="57"/>
      <c r="H40" s="331" t="s">
        <v>78</v>
      </c>
      <c r="I40" s="331"/>
      <c r="J40" s="58">
        <f>SUM(L42:L49)</f>
        <v>0</v>
      </c>
      <c r="K40" s="332" t="s">
        <v>345</v>
      </c>
      <c r="L40" s="333"/>
    </row>
    <row r="41" spans="1:12" x14ac:dyDescent="0.55000000000000004">
      <c r="A41" s="53" t="s">
        <v>153</v>
      </c>
      <c r="B41" s="306" t="s">
        <v>102</v>
      </c>
      <c r="C41" s="307"/>
      <c r="D41" s="308"/>
      <c r="E41" s="8" t="s">
        <v>90</v>
      </c>
      <c r="F41" s="306" t="s">
        <v>103</v>
      </c>
      <c r="G41" s="308"/>
      <c r="H41" s="306" t="s">
        <v>72</v>
      </c>
      <c r="I41" s="307"/>
      <c r="J41" s="308"/>
      <c r="K41" s="2" t="s">
        <v>85</v>
      </c>
      <c r="L41" s="59" t="s">
        <v>68</v>
      </c>
    </row>
    <row r="42" spans="1:12" x14ac:dyDescent="0.55000000000000004">
      <c r="A42" s="54">
        <v>1</v>
      </c>
      <c r="B42" s="312"/>
      <c r="C42" s="313"/>
      <c r="D42" s="314"/>
      <c r="E42" s="20"/>
      <c r="F42" s="315"/>
      <c r="G42" s="316"/>
      <c r="H42" s="327" t="s">
        <v>111</v>
      </c>
      <c r="I42" s="328"/>
      <c r="J42" s="329"/>
      <c r="K42" s="128"/>
      <c r="L42" s="27" t="str">
        <f>IF(B42= 0, " ", IF(K42= DataSet!E25, 0, IF(F42= DataSet!E32, (DataSet!G32*E42), IF(F42= DataSet!E33, (DataSet!G33*E42), IF(F42= DataSet!E34, (DataSet!G34*E42), IF(F42= DataSet!E35, (DataSet!G35*E42), IF(F42= DataSet!E36, (DataSet!G36*E42), IF(F42= DataSet!E37, (DataSet!G37*E42), 0))))))))</f>
        <v xml:space="preserve"> </v>
      </c>
    </row>
    <row r="43" spans="1:12" x14ac:dyDescent="0.55000000000000004">
      <c r="A43" s="54">
        <v>2</v>
      </c>
      <c r="B43" s="312"/>
      <c r="C43" s="313"/>
      <c r="D43" s="314"/>
      <c r="E43" s="20"/>
      <c r="F43" s="315"/>
      <c r="G43" s="316"/>
      <c r="H43" s="317" t="s">
        <v>95</v>
      </c>
      <c r="I43" s="325"/>
      <c r="J43" s="330"/>
      <c r="K43" s="128"/>
      <c r="L43" s="27" t="str">
        <f>IF(B43= 0, " ", IF(K43= DataSet!E25,0, IF(F43= DataSet!E32, (DataSet!G32*E43), IF(F43= DataSet!E33, (DataSet!G33*E43), IF(F43= DataSet!E34, (DataSet!G34*E43), IF(F43= DataSet!E35, (DataSet!G35*E43), IF(F43= DataSet!E36, (DataSet!G36*E43), IF(F43= DataSet!E37, (DataSet!G37*E43), 0))))))))</f>
        <v xml:space="preserve"> </v>
      </c>
    </row>
    <row r="44" spans="1:12" x14ac:dyDescent="0.55000000000000004">
      <c r="A44" s="54">
        <v>3</v>
      </c>
      <c r="B44" s="312"/>
      <c r="C44" s="313"/>
      <c r="D44" s="314"/>
      <c r="E44" s="20"/>
      <c r="F44" s="315"/>
      <c r="G44" s="316"/>
      <c r="H44" s="317" t="s">
        <v>100</v>
      </c>
      <c r="I44" s="318"/>
      <c r="J44" s="319"/>
      <c r="K44" s="128"/>
      <c r="L44" s="27" t="str">
        <f>IF(B44= 0, " ", IF(K44= DataSet!E25,0, IF(F44= DataSet!E32, (DataSet!G32*E44), IF(F44= DataSet!E33, (DataSet!G33*E44), IF(F44= DataSet!E34, (DataSet!G34*E44), IF(F44= DataSet!E35, (DataSet!G35*E44), IF(F44= DataSet!E36, (DataSet!G36*E44), IF(F44= DataSet!E37, (DataSet!G37*E44),0))))))))</f>
        <v xml:space="preserve"> </v>
      </c>
    </row>
    <row r="45" spans="1:12" x14ac:dyDescent="0.55000000000000004">
      <c r="A45" s="54">
        <v>4</v>
      </c>
      <c r="B45" s="312"/>
      <c r="C45" s="313"/>
      <c r="D45" s="314"/>
      <c r="E45" s="20"/>
      <c r="F45" s="315"/>
      <c r="G45" s="316"/>
      <c r="H45" s="326" t="s">
        <v>99</v>
      </c>
      <c r="I45" s="318"/>
      <c r="J45" s="319"/>
      <c r="K45" s="128"/>
      <c r="L45" s="27" t="str">
        <f>IF(B45= 0, " ", IF(K45= DataSet!E25, 0, IF(F45= DataSet!E32, (DataSet!G32*E45), IF(F45= DataSet!E33, (DataSet!G33*E45), IF(F45= DataSet!E34, (DataSet!G34*E45), IF(F45= DataSet!E35, (DataSet!G35*E45), IF(F45= DataSet!E36, (DataSet!G36*E45), IF(F45= DataSet!E37, (DataSet!G37*E45), 0))))))))</f>
        <v xml:space="preserve"> </v>
      </c>
    </row>
    <row r="46" spans="1:12" x14ac:dyDescent="0.55000000000000004">
      <c r="A46" s="54">
        <v>5</v>
      </c>
      <c r="B46" s="312"/>
      <c r="C46" s="313"/>
      <c r="D46" s="314"/>
      <c r="E46" s="20"/>
      <c r="F46" s="315"/>
      <c r="G46" s="316"/>
      <c r="H46" s="352" t="s">
        <v>112</v>
      </c>
      <c r="I46" s="318"/>
      <c r="J46" s="318"/>
      <c r="K46" s="128"/>
      <c r="L46" s="27" t="str">
        <f>IF(B46= 0, " ", IF(K46= DataSet!E25, 0, IF(F46= DataSet!E32, (DataSet!G32*E46), IF(F46= DataSet!E33, (DataSet!G33*E46), IF(F46= DataSet!E34, (DataSet!G34*E46), IF(F46= DataSet!E35, (DataSet!G35*E46), IF(F46= DataSet!E36, (DataSet!G36*E46), IF(F46= DataSet!E37, (DataSet!G37*E46), 0))))))))</f>
        <v xml:space="preserve"> </v>
      </c>
    </row>
    <row r="47" spans="1:12" x14ac:dyDescent="0.55000000000000004">
      <c r="A47" s="54">
        <v>6</v>
      </c>
      <c r="B47" s="312"/>
      <c r="C47" s="313"/>
      <c r="D47" s="314"/>
      <c r="E47" s="20"/>
      <c r="F47" s="315"/>
      <c r="G47" s="316"/>
      <c r="H47" s="325" t="s">
        <v>96</v>
      </c>
      <c r="I47" s="325"/>
      <c r="J47" s="325"/>
      <c r="K47" s="128"/>
      <c r="L47" s="27" t="str">
        <f>IF(B47= 0, " ", IF(K47= DataSet!E25, 0, IF(F47= DataSet!E32, (DataSet!G32*E47), IF(F47= DataSet!E33, (DataSet!G33*E47), IF(F47= DataSet!E34, (DataSet!G34*E47), IF(F47= DataSet!E35, (DataSet!G35*E47), IF(F47= DataSet!E36, (DataSet!G36*E47), IF(F47= DataSet!E37, (DataSet!G37*E47), 0))))))))</f>
        <v xml:space="preserve"> </v>
      </c>
    </row>
    <row r="48" spans="1:12" x14ac:dyDescent="0.55000000000000004">
      <c r="A48" s="54">
        <v>7</v>
      </c>
      <c r="B48" s="312"/>
      <c r="C48" s="313"/>
      <c r="D48" s="314"/>
      <c r="E48" s="20"/>
      <c r="F48" s="315"/>
      <c r="G48" s="316"/>
      <c r="H48" s="317" t="s">
        <v>97</v>
      </c>
      <c r="I48" s="318"/>
      <c r="J48" s="319"/>
      <c r="K48" s="128"/>
      <c r="L48" s="27" t="str">
        <f>IF(B48= 0, " ", IF(K48= DataSet!E25, 0, IF(F48= DataSet!E32, (DataSet!G32*E48), IF(F48= DataSet!E33, (DataSet!G33*E48), IF(F48= DataSet!E34, (DataSet!G34*E48), IF(F48= DataSet!E35, (DataSet!G35*E48), IF(F48= DataSet!E36, (DataSet!G36*E48), IF(F48= DataSet!E37, (DataSet!G37*E48), 0))))))))</f>
        <v xml:space="preserve"> </v>
      </c>
    </row>
    <row r="49" spans="1:12" ht="24.75" thickBot="1" x14ac:dyDescent="0.6">
      <c r="A49" s="55">
        <v>8</v>
      </c>
      <c r="B49" s="294"/>
      <c r="C49" s="295"/>
      <c r="D49" s="296"/>
      <c r="E49" s="22"/>
      <c r="F49" s="320"/>
      <c r="G49" s="321"/>
      <c r="H49" s="322" t="s">
        <v>98</v>
      </c>
      <c r="I49" s="323"/>
      <c r="J49" s="324"/>
      <c r="K49" s="129"/>
      <c r="L49" s="28" t="str">
        <f>IF(B49= 0, " ", IF(K49= DataSet!E25, 0, IF(F49= DataSet!E32, (DataSet!G32*E49), IF(F49= DataSet!E33, (DataSet!G33*E49), IF(F49= DataSet!E34, (DataSet!G34*E49), IF(F49= DataSet!E35, (DataSet!G35*E49), IF(F49= DataSet!E36, (DataSet!G36*E49), IF(F49= DataSet!E37, (DataSet!G37*E49), 0))))))))</f>
        <v xml:space="preserve"> </v>
      </c>
    </row>
    <row r="50" spans="1:12" ht="7.5" customHeight="1" thickBot="1" x14ac:dyDescent="0.6"/>
    <row r="51" spans="1:12" x14ac:dyDescent="0.55000000000000004">
      <c r="A51" s="56" t="s">
        <v>175</v>
      </c>
      <c r="B51" s="57"/>
      <c r="C51" s="57"/>
      <c r="D51" s="57"/>
      <c r="E51" s="57"/>
      <c r="F51" s="57"/>
      <c r="G51" s="57"/>
      <c r="H51" s="331" t="s">
        <v>78</v>
      </c>
      <c r="I51" s="331"/>
      <c r="J51" s="58">
        <f>SUM(L53:L60)</f>
        <v>0</v>
      </c>
      <c r="K51" s="332" t="s">
        <v>345</v>
      </c>
      <c r="L51" s="333"/>
    </row>
    <row r="52" spans="1:12" x14ac:dyDescent="0.55000000000000004">
      <c r="A52" s="53" t="s">
        <v>153</v>
      </c>
      <c r="B52" s="306" t="s">
        <v>102</v>
      </c>
      <c r="C52" s="307"/>
      <c r="D52" s="308"/>
      <c r="E52" s="8" t="s">
        <v>114</v>
      </c>
      <c r="F52" s="306" t="s">
        <v>113</v>
      </c>
      <c r="G52" s="308"/>
      <c r="H52" s="306" t="s">
        <v>72</v>
      </c>
      <c r="I52" s="307"/>
      <c r="J52" s="308"/>
      <c r="K52" s="2" t="s">
        <v>85</v>
      </c>
      <c r="L52" s="26" t="s">
        <v>68</v>
      </c>
    </row>
    <row r="53" spans="1:12" x14ac:dyDescent="0.55000000000000004">
      <c r="A53" s="54">
        <v>1</v>
      </c>
      <c r="B53" s="312"/>
      <c r="C53" s="313"/>
      <c r="D53" s="314"/>
      <c r="E53" s="20"/>
      <c r="F53" s="315"/>
      <c r="G53" s="316"/>
      <c r="H53" s="327" t="s">
        <v>122</v>
      </c>
      <c r="I53" s="328"/>
      <c r="J53" s="329"/>
      <c r="K53" s="128"/>
      <c r="L53" s="27" t="str">
        <f>IF(B53=0," ",IF(K53=DataSet!E25,0,IF(F53=DataSet!E39,(DataSet!G39/E53),IF(F53=DataSet!E40,(DataSet!G40/E53),IF(F53=DataSet!E41,(DataSet!G41/E53),IF(F53=DataSet!E42,(DataSet!G42/E53),IF(F53=DataSet!E43,(DataSet!G43/E53),IF(F53=DataSet!E44,(DataSet!G44/E53),IF(F53=DataSet!E45,(DataSet!G45/E53),IF(F53=DataSet!E46,(DataSet!G46/E53),IF(F53=DataSet!E47,(DataSet!G47/E53),IF(F53=DataSet!E48,(DataSet!G48/E53),IF(F53=DataSet!E49,(DataSet!G49/E53),IF(F53=DataSet!E50,(DataSet!G50/E53),0))))))))))))))</f>
        <v xml:space="preserve"> </v>
      </c>
    </row>
    <row r="54" spans="1:12" x14ac:dyDescent="0.55000000000000004">
      <c r="A54" s="54">
        <v>2</v>
      </c>
      <c r="B54" s="312"/>
      <c r="C54" s="313"/>
      <c r="D54" s="314"/>
      <c r="E54" s="20"/>
      <c r="F54" s="315"/>
      <c r="G54" s="316"/>
      <c r="H54" s="317" t="s">
        <v>123</v>
      </c>
      <c r="I54" s="325"/>
      <c r="J54" s="330"/>
      <c r="K54" s="128"/>
      <c r="L54" s="27" t="str">
        <f>IF(B54=0," ",IF(K54=DataSet!E25,0,IF(F54=DataSet!E39,(DataSet!G39/E54),IF(F54=DataSet!E40,(DataSet!G40/E54),IF(F54=DataSet!E41,(DataSet!G41/E54),IF(F54=DataSet!E42,(DataSet!G42/E54),IF(F54=DataSet!E43,(DataSet!G43/E54),IF(F54=DataSet!E44,(DataSet!G44/E54),IF(F54=DataSet!E45,(DataSet!G45/E54),IF(F54=DataSet!E46,(DataSet!G46/E54),IF(F54=DataSet!E47,(DataSet!G47/E54),IF(F54=DataSet!E48,(DataSet!G48/E54),IF(F54=DataSet!E49,(DataSet!G49/E54),IF(F54=DataSet!E50,(DataSet!G50/E54),0))))))))))))))</f>
        <v xml:space="preserve"> </v>
      </c>
    </row>
    <row r="55" spans="1:12" x14ac:dyDescent="0.55000000000000004">
      <c r="A55" s="54">
        <v>3</v>
      </c>
      <c r="B55" s="312"/>
      <c r="C55" s="313"/>
      <c r="D55" s="314"/>
      <c r="E55" s="20"/>
      <c r="F55" s="315"/>
      <c r="G55" s="316"/>
      <c r="H55" s="317" t="s">
        <v>124</v>
      </c>
      <c r="I55" s="318"/>
      <c r="J55" s="319"/>
      <c r="K55" s="128"/>
      <c r="L55" s="27" t="str">
        <f>IF(B55=0," ",IF(K55=DataSet!E25,0,IF(F55=DataSet!E39,(DataSet!G39/E55),IF(F55=DataSet!E40,(DataSet!G40/E55),IF(F55=DataSet!E41,(DataSet!G41/E55),IF(F55=DataSet!E42,(DataSet!G42/E55),IF(F55=DataSet!E43,(DataSet!G43/E55),IF(F55=DataSet!E44,(DataSet!G44/E55),IF(F55=DataSet!E45,(DataSet!G45/E55),IF(F55=DataSet!E46,(DataSet!G46/E55),IF(F55=DataSet!E47,(DataSet!G47/E55),IF(F55=DataSet!E48,(DataSet!G48/E55),IF(F55=DataSet!E49,(DataSet!G49/E55),IF(F55=DataSet!E50,(DataSet!G50/E55),0))))))))))))))</f>
        <v xml:space="preserve"> </v>
      </c>
    </row>
    <row r="56" spans="1:12" x14ac:dyDescent="0.55000000000000004">
      <c r="A56" s="54">
        <v>4</v>
      </c>
      <c r="B56" s="312"/>
      <c r="C56" s="313"/>
      <c r="D56" s="314"/>
      <c r="E56" s="20"/>
      <c r="F56" s="315"/>
      <c r="G56" s="316"/>
      <c r="H56" s="326" t="s">
        <v>125</v>
      </c>
      <c r="I56" s="318"/>
      <c r="J56" s="319"/>
      <c r="K56" s="128"/>
      <c r="L56" s="27" t="str">
        <f>IF(B56=0," ",IF(K56=DataSet!E25,0,IF(F56=DataSet!E39,(DataSet!G39/E56),IF(F56=DataSet!E40,(DataSet!G40/E56),IF(F56=DataSet!E41,(DataSet!G41/E56),IF(F56=DataSet!E42,(DataSet!G42/E56),IF(F56=DataSet!E43,(DataSet!G43/E56),IF(F56=DataSet!E44,(DataSet!G44/E56),IF(F56=DataSet!E45,(DataSet!G45/E56),IF(F56=DataSet!E46,(DataSet!G46/E56),IF(F56=DataSet!E47,(DataSet!G47/E56),IF(F56=DataSet!E48,(DataSet!G48/E56),IF(F56=DataSet!E49,(DataSet!G49/E56),IF(F56=DataSet!E50,(DataSet!G50/E56),0))))))))))))))</f>
        <v xml:space="preserve"> </v>
      </c>
    </row>
    <row r="57" spans="1:12" x14ac:dyDescent="0.55000000000000004">
      <c r="A57" s="54">
        <v>5</v>
      </c>
      <c r="B57" s="312"/>
      <c r="C57" s="313"/>
      <c r="D57" s="314"/>
      <c r="E57" s="20"/>
      <c r="F57" s="315"/>
      <c r="G57" s="316"/>
      <c r="H57" s="318" t="s">
        <v>126</v>
      </c>
      <c r="I57" s="318"/>
      <c r="J57" s="318"/>
      <c r="K57" s="128"/>
      <c r="L57" s="27" t="str">
        <f>IF(B57=0," ",IF(K57=DataSet!E25,0,IF(F57=DataSet!E39,(DataSet!G39/E57),IF(F57=DataSet!E40,(DataSet!G40/E57),IF(F57=DataSet!E41,(DataSet!G41/E57),IF(F57=DataSet!E42,(DataSet!G42/E57),IF(F57=DataSet!E43,(DataSet!G43/E57),IF(F57=DataSet!E44,(DataSet!G44/E57),IF(F57=DataSet!E45,(DataSet!G45/E57),IF(F57=DataSet!E46,(DataSet!G46/E57),IF(F57=DataSet!E47,(DataSet!G47/E57),IF(F57=DataSet!E48,(DataSet!G48/E57),IF(F57=DataSet!E49,(DataSet!G49/E57),IF(F57=DataSet!E50,(DataSet!G50/E57),0))))))))))))))</f>
        <v xml:space="preserve"> </v>
      </c>
    </row>
    <row r="58" spans="1:12" x14ac:dyDescent="0.55000000000000004">
      <c r="A58" s="54">
        <v>6</v>
      </c>
      <c r="B58" s="313"/>
      <c r="C58" s="313"/>
      <c r="D58" s="314"/>
      <c r="E58" s="20"/>
      <c r="F58" s="315"/>
      <c r="G58" s="316"/>
      <c r="H58" s="325"/>
      <c r="I58" s="325"/>
      <c r="J58" s="325"/>
      <c r="K58" s="128"/>
      <c r="L58" s="27" t="str">
        <f>IF(B58=0," ",IF(K58=DataSet!E25,0,IF(F58=DataSet!E39,(DataSet!G39/E58),IF(F58=DataSet!E40,(DataSet!G40/E58),IF(F58=DataSet!E41,(DataSet!G41/E58),IF(F58=DataSet!E42,(DataSet!G42/E58),IF(F58=DataSet!E43,(DataSet!G43/E58),IF(F58=DataSet!E44,(DataSet!G44/E58),IF(F58=DataSet!E45,(DataSet!G45/E58),IF(F58=DataSet!E46,(DataSet!G46/E58),IF(F58=DataSet!E47,(DataSet!G47/E58),IF(F58=DataSet!E48,(DataSet!G48/E58),IF(F58=DataSet!E49,(DataSet!G49/E58),IF(F58=DataSet!E50,(DataSet!G50/E58),0))))))))))))))</f>
        <v xml:space="preserve"> </v>
      </c>
    </row>
    <row r="59" spans="1:12" x14ac:dyDescent="0.55000000000000004">
      <c r="A59" s="54">
        <v>7</v>
      </c>
      <c r="B59" s="312"/>
      <c r="C59" s="313"/>
      <c r="D59" s="314"/>
      <c r="E59" s="20"/>
      <c r="F59" s="315"/>
      <c r="G59" s="316"/>
      <c r="H59" s="317"/>
      <c r="I59" s="318"/>
      <c r="J59" s="319"/>
      <c r="K59" s="128"/>
      <c r="L59" s="27" t="str">
        <f>IF(B59=0," ",IF(K59=DataSet!E25,0,IF(F59=DataSet!E39,(DataSet!G39/E59),IF(F59=DataSet!E40,(DataSet!G40/E59),IF(F59=DataSet!E41,(DataSet!G41/E59),IF(F59=DataSet!E42,(DataSet!G42/E59),IF(F59=DataSet!E43,(DataSet!G43/E59),IF(F59=DataSet!E44,(DataSet!G44/E59),IF(F59=DataSet!E45,(DataSet!G45/E59),IF(F59=DataSet!E46,(DataSet!G46/E59),IF(F59=DataSet!E47,(DataSet!G47/E59),IF(F59=DataSet!E48,(DataSet!G48/E59),IF(F59=DataSet!E49,(DataSet!G49/E59),IF(F59=DataSet!E50,(DataSet!G50/E59),0))))))))))))))</f>
        <v xml:space="preserve"> </v>
      </c>
    </row>
    <row r="60" spans="1:12" ht="24.75" thickBot="1" x14ac:dyDescent="0.6">
      <c r="A60" s="55">
        <v>8</v>
      </c>
      <c r="B60" s="294"/>
      <c r="C60" s="295"/>
      <c r="D60" s="296"/>
      <c r="E60" s="22"/>
      <c r="F60" s="320"/>
      <c r="G60" s="321"/>
      <c r="H60" s="322"/>
      <c r="I60" s="323"/>
      <c r="J60" s="324"/>
      <c r="K60" s="129"/>
      <c r="L60" s="28" t="str">
        <f>IF(B60=0," ",IF(K60=DataSet!E25,0,IF(F60=DataSet!E39,(DataSet!G39/E60),IF(F60=DataSet!E40,(DataSet!G40/E60),IF(F60=DataSet!E41,(DataSet!G41/E60),IF(F60=DataSet!E42,(DataSet!G42/E60),IF(F60=DataSet!E43,(DataSet!G43/E60),IF(F60=DataSet!E44,(DataSet!G44/E60),IF(F60=DataSet!E45,(DataSet!G45/E60),IF(F60=DataSet!E46,(DataSet!G46/E60),IF(F60=DataSet!E47,(DataSet!G47/E60),IF(F60=DataSet!E48,(DataSet!G48/E60),IF(F60=DataSet!E49,(DataSet!G49/E60),IF(F60=DataSet!E50,(DataSet!G50/E60),0))))))))))))))</f>
        <v xml:space="preserve"> </v>
      </c>
    </row>
    <row r="61" spans="1:12" ht="7.5" customHeight="1" thickBot="1" x14ac:dyDescent="0.6"/>
    <row r="62" spans="1:12" x14ac:dyDescent="0.55000000000000004">
      <c r="A62" s="56" t="s">
        <v>176</v>
      </c>
      <c r="B62" s="57"/>
      <c r="C62" s="57"/>
      <c r="D62" s="57"/>
      <c r="E62" s="57"/>
      <c r="F62" s="57"/>
      <c r="G62" s="57"/>
      <c r="H62" s="331" t="s">
        <v>78</v>
      </c>
      <c r="I62" s="331"/>
      <c r="J62" s="58">
        <f>SUM(L64:L71)</f>
        <v>0</v>
      </c>
      <c r="K62" s="332" t="s">
        <v>345</v>
      </c>
      <c r="L62" s="333"/>
    </row>
    <row r="63" spans="1:12" x14ac:dyDescent="0.55000000000000004">
      <c r="A63" s="53" t="s">
        <v>153</v>
      </c>
      <c r="B63" s="306" t="s">
        <v>102</v>
      </c>
      <c r="C63" s="307"/>
      <c r="D63" s="308"/>
      <c r="E63" s="8" t="s">
        <v>114</v>
      </c>
      <c r="F63" s="306" t="s">
        <v>113</v>
      </c>
      <c r="G63" s="308"/>
      <c r="H63" s="306" t="s">
        <v>72</v>
      </c>
      <c r="I63" s="307"/>
      <c r="J63" s="308"/>
      <c r="K63" s="2" t="s">
        <v>85</v>
      </c>
      <c r="L63" s="59" t="s">
        <v>68</v>
      </c>
    </row>
    <row r="64" spans="1:12" x14ac:dyDescent="0.55000000000000004">
      <c r="A64" s="54">
        <v>1</v>
      </c>
      <c r="B64" s="312"/>
      <c r="C64" s="313"/>
      <c r="D64" s="314"/>
      <c r="E64" s="20"/>
      <c r="F64" s="315"/>
      <c r="G64" s="316"/>
      <c r="H64" s="327" t="s">
        <v>122</v>
      </c>
      <c r="I64" s="328"/>
      <c r="J64" s="329"/>
      <c r="K64" s="128"/>
      <c r="L64" s="27" t="str">
        <f>IF(B64=0," ",IF(K64=DataSet!E25,0,IF(F64=DataSet!E52,(DataSet!G52/E64),IF(F64=DataSet!E53,(DataSet!G53/E64),IF(F64=DataSet!E54,(DataSet!G54/E64),IF(F64=DataSet!E55,(DataSet!G55/E64),IF(F64=DataSet!E56,(DataSet!G56/E64),IF(F64=DataSet!E57,(DataSet!G57/E64),IF(F64=DataSet!E58,(DataSet!G58/E64),IF(F64=DataSet!E59, (DataSet!G59/E64),IF(F64=DataSet!E60,(DataSet!G60/E64),IF(F64=DataSet!E61,(DataSet!G61/E64),0))))))))))))</f>
        <v xml:space="preserve"> </v>
      </c>
    </row>
    <row r="65" spans="1:18" x14ac:dyDescent="0.55000000000000004">
      <c r="A65" s="54">
        <v>2</v>
      </c>
      <c r="B65" s="312"/>
      <c r="C65" s="313"/>
      <c r="D65" s="314"/>
      <c r="E65" s="20"/>
      <c r="F65" s="315"/>
      <c r="G65" s="316"/>
      <c r="H65" s="317" t="s">
        <v>123</v>
      </c>
      <c r="I65" s="325"/>
      <c r="J65" s="330"/>
      <c r="K65" s="128"/>
      <c r="L65" s="27" t="str">
        <f>IF(B65=0," ",IF(K65=DataSet!E25,0,IF(F65=DataSet!E52,(DataSet!G52/E65),IF(F65=DataSet!E53,(DataSet!G53/E65),IF(F65=DataSet!E54,(DataSet!G54/E65),IF(F65=DataSet!E55,(DataSet!G55/E65),IF(F65=DataSet!E56,(DataSet!G56/E65),IF(F65=DataSet!E57,(DataSet!G57/E65),IF(F65=DataSet!E58,(DataSet!G58/E65),IF(F65=DataSet!E59, (DataSet!G59/E65),IF(F65=DataSet!E60,(DataSet!G60/E65),IF(F65=DataSet!E61,(DataSet!G61/E65),0))))))))))))</f>
        <v xml:space="preserve"> </v>
      </c>
    </row>
    <row r="66" spans="1:18" x14ac:dyDescent="0.55000000000000004">
      <c r="A66" s="54">
        <v>3</v>
      </c>
      <c r="B66" s="312"/>
      <c r="C66" s="313"/>
      <c r="D66" s="314"/>
      <c r="E66" s="20"/>
      <c r="F66" s="315"/>
      <c r="G66" s="316"/>
      <c r="H66" s="317" t="s">
        <v>124</v>
      </c>
      <c r="I66" s="318"/>
      <c r="J66" s="319"/>
      <c r="K66" s="128"/>
      <c r="L66" s="27" t="str">
        <f>IF(B66=0," ",IF(K66=DataSet!E25,0,IF(F66=DataSet!E52,(DataSet!G52/E66),IF(F66=DataSet!E53,(DataSet!G53/E66),IF(F66=DataSet!E54,(DataSet!G54/E66),IF(F66=DataSet!E55,(DataSet!G55/E66),IF(F66=DataSet!E56,(DataSet!G56/E66),IF(F66=DataSet!E57,(DataSet!G57/E66),IF(F66=DataSet!E58,(DataSet!G58/E66),IF(F66=DataSet!E59, (DataSet!G59/E66),IF(F66=DataSet!E60,(DataSet!G60/E66),IF(F66=DataSet!E61,(DataSet!G61/E66),0))))))))))))</f>
        <v xml:space="preserve"> </v>
      </c>
    </row>
    <row r="67" spans="1:18" x14ac:dyDescent="0.55000000000000004">
      <c r="A67" s="54">
        <v>4</v>
      </c>
      <c r="B67" s="312"/>
      <c r="C67" s="313"/>
      <c r="D67" s="314"/>
      <c r="E67" s="20"/>
      <c r="F67" s="315"/>
      <c r="G67" s="316"/>
      <c r="H67" s="326" t="s">
        <v>125</v>
      </c>
      <c r="I67" s="318"/>
      <c r="J67" s="319"/>
      <c r="K67" s="128"/>
      <c r="L67" s="27" t="str">
        <f>IF(B67=0," ",IF(K67=DataSet!E25,0,IF(F67=DataSet!E52,(DataSet!G52/E67),IF(F67=DataSet!E53,(DataSet!G53/E67),IF(F67=DataSet!E54,(DataSet!G54/E67),IF(F67=DataSet!E55,(DataSet!G55/E67),IF(F67=DataSet!E56,(DataSet!G56/E67),IF(F67=DataSet!E57,(DataSet!G57/E67),IF(F67=DataSet!E58,(DataSet!G58/E67),IF(F67=DataSet!E59, (DataSet!G59/E67),IF(F67=DataSet!E60,(DataSet!G60/E67),IF(F67=DataSet!E61,(DataSet!G61/E67),0))))))))))))</f>
        <v xml:space="preserve"> </v>
      </c>
    </row>
    <row r="68" spans="1:18" x14ac:dyDescent="0.55000000000000004">
      <c r="A68" s="54">
        <v>5</v>
      </c>
      <c r="B68" s="312"/>
      <c r="C68" s="313"/>
      <c r="D68" s="314"/>
      <c r="E68" s="20"/>
      <c r="F68" s="315"/>
      <c r="G68" s="316"/>
      <c r="H68" s="318" t="s">
        <v>126</v>
      </c>
      <c r="I68" s="318"/>
      <c r="J68" s="318"/>
      <c r="K68" s="128"/>
      <c r="L68" s="27" t="str">
        <f>IF(B68=0," ",IF(K68=DataSet!E25,0,IF(F68=DataSet!E52,(DataSet!G52/E68),IF(F68=DataSet!E53,(DataSet!G53/E68),IF(F68=DataSet!E54,(DataSet!G54/E68),IF(F68=DataSet!E55,(DataSet!G55/E68),IF(F68=DataSet!E56,(DataSet!G56/E68),IF(F68=DataSet!E57,(DataSet!G57/E68),IF(F68=DataSet!E58,(DataSet!G58/E68),IF(F68=DataSet!E59, (DataSet!G59/E68),IF(F68=DataSet!E60,(DataSet!G60/E68),IF(F68=DataSet!E61,(DataSet!G61/E68),0))))))))))))</f>
        <v xml:space="preserve"> </v>
      </c>
    </row>
    <row r="69" spans="1:18" x14ac:dyDescent="0.55000000000000004">
      <c r="A69" s="54">
        <v>6</v>
      </c>
      <c r="B69" s="312"/>
      <c r="C69" s="313"/>
      <c r="D69" s="314"/>
      <c r="E69" s="20"/>
      <c r="F69" s="315"/>
      <c r="G69" s="316"/>
      <c r="H69" s="325"/>
      <c r="I69" s="325"/>
      <c r="J69" s="325"/>
      <c r="K69" s="128"/>
      <c r="L69" s="27" t="str">
        <f>IF(B69=0," ",IF(K69=DataSet!E25,0,IF(F69=DataSet!E52,(DataSet!G52/E69),IF(F69=DataSet!E53,(DataSet!G53/E69),IF(F69=DataSet!E54,(DataSet!G54/E69),IF(F69=DataSet!E55,(DataSet!G55/E69),IF(F69=DataSet!E56,(DataSet!G56/E69),IF(F69=DataSet!E57,(DataSet!G57/E69),IF(F69=DataSet!E58,(DataSet!G58/E69),IF(F69=DataSet!E59, (DataSet!G59/E69),IF(F69=DataSet!E60,(DataSet!G60/E69),IF(F69=DataSet!E61,(DataSet!G61/E69),0))))))))))))</f>
        <v xml:space="preserve"> </v>
      </c>
    </row>
    <row r="70" spans="1:18" x14ac:dyDescent="0.55000000000000004">
      <c r="A70" s="54">
        <v>7</v>
      </c>
      <c r="B70" s="312"/>
      <c r="C70" s="313"/>
      <c r="D70" s="314"/>
      <c r="E70" s="20"/>
      <c r="F70" s="315"/>
      <c r="G70" s="316"/>
      <c r="H70" s="317"/>
      <c r="I70" s="318"/>
      <c r="J70" s="319"/>
      <c r="K70" s="128"/>
      <c r="L70" s="27" t="str">
        <f>IF(B70=0," ",IF(K70=DataSet!E25,0,IF(F70=DataSet!E52,(DataSet!G52/E70),IF(F70=DataSet!E53,(DataSet!G53/E70),IF(F70=DataSet!E54,(DataSet!G54/E70),IF(F70=DataSet!E55,(DataSet!G55/E70),IF(F70=DataSet!E56,(DataSet!G56/E70),IF(F70=DataSet!E57,(DataSet!G57/E70),IF(F70=DataSet!E58,(DataSet!G58/E70),IF(F70=DataSet!E59, (DataSet!G59/E70),IF(F70=DataSet!E60,(DataSet!G60/E70),IF(F70=DataSet!E61,(DataSet!G61/E70),0))))))))))))</f>
        <v xml:space="preserve"> </v>
      </c>
    </row>
    <row r="71" spans="1:18" ht="24.75" thickBot="1" x14ac:dyDescent="0.6">
      <c r="A71" s="55">
        <v>8</v>
      </c>
      <c r="B71" s="294"/>
      <c r="C71" s="295"/>
      <c r="D71" s="296"/>
      <c r="E71" s="22"/>
      <c r="F71" s="320"/>
      <c r="G71" s="321"/>
      <c r="H71" s="322"/>
      <c r="I71" s="323"/>
      <c r="J71" s="324"/>
      <c r="K71" s="129"/>
      <c r="L71" s="28" t="str">
        <f>IF(B71=0," ",IF(K71=DataSet!E25,0,IF(F71=DataSet!E52,(DataSet!G52/E71),IF(F71=DataSet!E53,(DataSet!G53/E71),IF(F71=DataSet!E54,(DataSet!G54/E71),IF(F71=DataSet!E55,(DataSet!G55/E71),IF(F71=DataSet!E56,(DataSet!G56/E71),IF(F71=DataSet!E57,(DataSet!G57/E71),IF(F71=DataSet!E58,(DataSet!G58/E71),IF(F71=DataSet!E59, (DataSet!G59/E71),IF(F71=DataSet!E60,(DataSet!G60/E71),IF(F71=DataSet!E61,(DataSet!G61/E71),0))))))))))))</f>
        <v xml:space="preserve"> </v>
      </c>
    </row>
    <row r="73" spans="1:18" s="140" customFormat="1" x14ac:dyDescent="0.55000000000000004"/>
    <row r="74" spans="1:18" s="140" customFormat="1" x14ac:dyDescent="0.55000000000000004">
      <c r="C74" s="145"/>
    </row>
    <row r="75" spans="1:18" s="140" customFormat="1" ht="27.75" x14ac:dyDescent="0.65">
      <c r="B75" s="143"/>
      <c r="C75" s="145"/>
      <c r="E75" s="143"/>
      <c r="F75" s="143"/>
      <c r="R75" s="141"/>
    </row>
    <row r="76" spans="1:18" s="140" customFormat="1" x14ac:dyDescent="0.55000000000000004"/>
    <row r="77" spans="1:18" s="140" customFormat="1" x14ac:dyDescent="0.55000000000000004"/>
    <row r="78" spans="1:18" s="140" customFormat="1" x14ac:dyDescent="0.55000000000000004"/>
    <row r="79" spans="1:18" s="140" customFormat="1" x14ac:dyDescent="0.55000000000000004"/>
    <row r="80" spans="1:18" s="140" customFormat="1" x14ac:dyDescent="0.55000000000000004"/>
    <row r="81" s="140" customFormat="1" x14ac:dyDescent="0.55000000000000004"/>
    <row r="82" s="140" customFormat="1" x14ac:dyDescent="0.55000000000000004"/>
    <row r="83" s="140" customFormat="1" x14ac:dyDescent="0.55000000000000004"/>
    <row r="84" s="140" customFormat="1" x14ac:dyDescent="0.55000000000000004"/>
    <row r="85" s="140" customFormat="1" x14ac:dyDescent="0.55000000000000004"/>
    <row r="86" s="140" customFormat="1" x14ac:dyDescent="0.55000000000000004"/>
    <row r="87" s="140" customFormat="1" x14ac:dyDescent="0.55000000000000004"/>
    <row r="88" s="140" customFormat="1" x14ac:dyDescent="0.55000000000000004"/>
    <row r="89" s="140" customFormat="1" x14ac:dyDescent="0.55000000000000004"/>
    <row r="90" s="140" customFormat="1" x14ac:dyDescent="0.55000000000000004"/>
    <row r="91" s="140" customFormat="1" x14ac:dyDescent="0.55000000000000004"/>
    <row r="92" s="140" customFormat="1" x14ac:dyDescent="0.55000000000000004"/>
    <row r="93" s="140" customFormat="1" x14ac:dyDescent="0.55000000000000004"/>
    <row r="94" s="140" customFormat="1" x14ac:dyDescent="0.55000000000000004"/>
    <row r="95" s="140" customFormat="1" x14ac:dyDescent="0.55000000000000004"/>
    <row r="96" s="140" customFormat="1" x14ac:dyDescent="0.55000000000000004"/>
    <row r="97" s="140" customFormat="1" x14ac:dyDescent="0.55000000000000004"/>
    <row r="98" s="140" customFormat="1" x14ac:dyDescent="0.55000000000000004"/>
    <row r="99" s="140" customFormat="1" x14ac:dyDescent="0.55000000000000004"/>
    <row r="100" s="140" customFormat="1" x14ac:dyDescent="0.55000000000000004"/>
    <row r="101" s="140" customFormat="1" x14ac:dyDescent="0.55000000000000004"/>
    <row r="102" s="140" customFormat="1" x14ac:dyDescent="0.55000000000000004"/>
    <row r="103" s="140" customFormat="1" x14ac:dyDescent="0.55000000000000004"/>
    <row r="104" s="140" customFormat="1" x14ac:dyDescent="0.55000000000000004"/>
    <row r="105" s="140" customFormat="1" x14ac:dyDescent="0.55000000000000004"/>
    <row r="106" s="140" customFormat="1" x14ac:dyDescent="0.55000000000000004"/>
    <row r="107" s="140" customFormat="1" x14ac:dyDescent="0.55000000000000004"/>
    <row r="108" s="140" customFormat="1" x14ac:dyDescent="0.55000000000000004"/>
    <row r="109" s="140" customFormat="1" x14ac:dyDescent="0.55000000000000004"/>
    <row r="110" s="140" customFormat="1" x14ac:dyDescent="0.55000000000000004"/>
    <row r="111" s="140" customFormat="1" x14ac:dyDescent="0.55000000000000004"/>
    <row r="112" s="140" customFormat="1" x14ac:dyDescent="0.55000000000000004"/>
    <row r="113" s="31" customFormat="1" x14ac:dyDescent="0.55000000000000004"/>
    <row r="114" s="31" customFormat="1" x14ac:dyDescent="0.55000000000000004"/>
  </sheetData>
  <sheetProtection algorithmName="SHA-512" hashValue="5ngQ9tcfcINFBHme38FX1LpQe0CaRVn9qpSU897wyRZwVLIoJLmslq2rRf7fQ/xfDDWo5InuGneiqzE5Pd3nlw==" saltValue="6TeimH7k8J75rhuaoXBVmg==" spinCount="100000" sheet="1" objects="1" scenarios="1" selectLockedCells="1"/>
  <mergeCells count="149">
    <mergeCell ref="B13:E13"/>
    <mergeCell ref="F11:J11"/>
    <mergeCell ref="B14:E14"/>
    <mergeCell ref="F12:J12"/>
    <mergeCell ref="H8:I8"/>
    <mergeCell ref="K8:L8"/>
    <mergeCell ref="F13:J14"/>
    <mergeCell ref="B49:D49"/>
    <mergeCell ref="B52:D52"/>
    <mergeCell ref="F49:G49"/>
    <mergeCell ref="H49:J49"/>
    <mergeCell ref="F41:G41"/>
    <mergeCell ref="F42:G42"/>
    <mergeCell ref="F43:G43"/>
    <mergeCell ref="F44:G44"/>
    <mergeCell ref="F45:G45"/>
    <mergeCell ref="F46:G46"/>
    <mergeCell ref="F47:G47"/>
    <mergeCell ref="F48:G48"/>
    <mergeCell ref="H47:J47"/>
    <mergeCell ref="H48:J48"/>
    <mergeCell ref="G37:J37"/>
    <mergeCell ref="G38:J38"/>
    <mergeCell ref="H40:I40"/>
    <mergeCell ref="B53:D53"/>
    <mergeCell ref="B54:D54"/>
    <mergeCell ref="B55:D55"/>
    <mergeCell ref="B56:D56"/>
    <mergeCell ref="B57:D57"/>
    <mergeCell ref="B58:D58"/>
    <mergeCell ref="B59:D59"/>
    <mergeCell ref="B25:D25"/>
    <mergeCell ref="B26:D26"/>
    <mergeCell ref="B27:D27"/>
    <mergeCell ref="B28:D28"/>
    <mergeCell ref="B29:D29"/>
    <mergeCell ref="B30:D30"/>
    <mergeCell ref="B33:D33"/>
    <mergeCell ref="B34:D34"/>
    <mergeCell ref="B35:D35"/>
    <mergeCell ref="B41:D41"/>
    <mergeCell ref="B42:D42"/>
    <mergeCell ref="B43:D43"/>
    <mergeCell ref="B44:D44"/>
    <mergeCell ref="B45:D45"/>
    <mergeCell ref="B46:D46"/>
    <mergeCell ref="B47:D47"/>
    <mergeCell ref="B48:D48"/>
    <mergeCell ref="K40:L40"/>
    <mergeCell ref="H41:J41"/>
    <mergeCell ref="H42:J42"/>
    <mergeCell ref="H43:J43"/>
    <mergeCell ref="H44:J44"/>
    <mergeCell ref="H45:J45"/>
    <mergeCell ref="H46:J46"/>
    <mergeCell ref="B37:D37"/>
    <mergeCell ref="B38:D38"/>
    <mergeCell ref="H32:I32"/>
    <mergeCell ref="K32:L32"/>
    <mergeCell ref="G33:J33"/>
    <mergeCell ref="G34:J34"/>
    <mergeCell ref="G35:J35"/>
    <mergeCell ref="G36:J36"/>
    <mergeCell ref="B36:D36"/>
    <mergeCell ref="G30:J30"/>
    <mergeCell ref="G28:J28"/>
    <mergeCell ref="F17:J17"/>
    <mergeCell ref="F18:J18"/>
    <mergeCell ref="F19:J19"/>
    <mergeCell ref="G29:J29"/>
    <mergeCell ref="G25:J25"/>
    <mergeCell ref="G26:J26"/>
    <mergeCell ref="G27:J27"/>
    <mergeCell ref="F22:J22"/>
    <mergeCell ref="H24:I24"/>
    <mergeCell ref="B17:E17"/>
    <mergeCell ref="B18:E18"/>
    <mergeCell ref="B19:E19"/>
    <mergeCell ref="B20:E20"/>
    <mergeCell ref="K24:L24"/>
    <mergeCell ref="F20:J20"/>
    <mergeCell ref="F21:J21"/>
    <mergeCell ref="A1:H1"/>
    <mergeCell ref="A2:L2"/>
    <mergeCell ref="A4:L4"/>
    <mergeCell ref="A6:G6"/>
    <mergeCell ref="H6:I6"/>
    <mergeCell ref="K6:L6"/>
    <mergeCell ref="H16:I16"/>
    <mergeCell ref="K16:L16"/>
    <mergeCell ref="B21:E21"/>
    <mergeCell ref="B22:E22"/>
    <mergeCell ref="B9:E9"/>
    <mergeCell ref="F9:J9"/>
    <mergeCell ref="B10:E10"/>
    <mergeCell ref="F10:J10"/>
    <mergeCell ref="B11:E11"/>
    <mergeCell ref="B12:E12"/>
    <mergeCell ref="A15:L15"/>
    <mergeCell ref="F53:G53"/>
    <mergeCell ref="H53:J53"/>
    <mergeCell ref="F54:G54"/>
    <mergeCell ref="H54:J54"/>
    <mergeCell ref="H51:I51"/>
    <mergeCell ref="K51:L51"/>
    <mergeCell ref="F52:G52"/>
    <mergeCell ref="H52:J52"/>
    <mergeCell ref="F57:G57"/>
    <mergeCell ref="H57:J57"/>
    <mergeCell ref="F58:G58"/>
    <mergeCell ref="H58:J58"/>
    <mergeCell ref="F55:G55"/>
    <mergeCell ref="H55:J55"/>
    <mergeCell ref="F56:G56"/>
    <mergeCell ref="H56:J56"/>
    <mergeCell ref="H62:I62"/>
    <mergeCell ref="K62:L62"/>
    <mergeCell ref="F63:G63"/>
    <mergeCell ref="H63:J63"/>
    <mergeCell ref="F59:G59"/>
    <mergeCell ref="H59:J59"/>
    <mergeCell ref="F60:G60"/>
    <mergeCell ref="H60:J60"/>
    <mergeCell ref="B60:D60"/>
    <mergeCell ref="B63:D63"/>
    <mergeCell ref="F66:G66"/>
    <mergeCell ref="H66:J66"/>
    <mergeCell ref="F67:G67"/>
    <mergeCell ref="H67:J67"/>
    <mergeCell ref="F64:G64"/>
    <mergeCell ref="H64:J64"/>
    <mergeCell ref="F65:G65"/>
    <mergeCell ref="H65:J65"/>
    <mergeCell ref="B64:D64"/>
    <mergeCell ref="B65:D65"/>
    <mergeCell ref="B66:D66"/>
    <mergeCell ref="B67:D67"/>
    <mergeCell ref="F70:G70"/>
    <mergeCell ref="H70:J70"/>
    <mergeCell ref="F71:G71"/>
    <mergeCell ref="H71:J71"/>
    <mergeCell ref="F68:G68"/>
    <mergeCell ref="H68:J68"/>
    <mergeCell ref="F69:G69"/>
    <mergeCell ref="H69:J69"/>
    <mergeCell ref="B68:D68"/>
    <mergeCell ref="B69:D69"/>
    <mergeCell ref="B70:D70"/>
    <mergeCell ref="B71:D71"/>
  </mergeCells>
  <conditionalFormatting sqref="J6">
    <cfRule type="cellIs" dxfId="16" priority="8" operator="greaterThan">
      <formula>0</formula>
    </cfRule>
  </conditionalFormatting>
  <conditionalFormatting sqref="J8">
    <cfRule type="cellIs" dxfId="15" priority="7" operator="greaterThan">
      <formula>0</formula>
    </cfRule>
  </conditionalFormatting>
  <conditionalFormatting sqref="J16">
    <cfRule type="cellIs" dxfId="14" priority="6" operator="greaterThan">
      <formula>0</formula>
    </cfRule>
  </conditionalFormatting>
  <conditionalFormatting sqref="J24">
    <cfRule type="cellIs" dxfId="13" priority="5" operator="greaterThan">
      <formula>0</formula>
    </cfRule>
  </conditionalFormatting>
  <conditionalFormatting sqref="J32">
    <cfRule type="cellIs" dxfId="12" priority="4" operator="greaterThan">
      <formula>0</formula>
    </cfRule>
  </conditionalFormatting>
  <conditionalFormatting sqref="J40">
    <cfRule type="cellIs" dxfId="11" priority="3" operator="greaterThan">
      <formula>0</formula>
    </cfRule>
  </conditionalFormatting>
  <conditionalFormatting sqref="J51">
    <cfRule type="cellIs" dxfId="10" priority="2" operator="greaterThan">
      <formula>0</formula>
    </cfRule>
  </conditionalFormatting>
  <conditionalFormatting sqref="J62">
    <cfRule type="cellIs" dxfId="9" priority="1" operator="greaterThan">
      <formula>0</formula>
    </cfRule>
  </conditionalFormatting>
  <pageMargins left="0.39" right="0.28999999999999998" top="0.52" bottom="0.34" header="0.3" footer="0.3"/>
  <pageSetup scale="79" fitToHeight="0" orientation="portrait" r:id="rId1"/>
  <rowBreaks count="1" manualBreakCount="1">
    <brk id="3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DataSet!$E$24:$E$25</xm:f>
          </x14:formula1>
          <xm:sqref>K18:K22 K34:K38 I23 K26:K30 K42:K49 K53:K60 K64:K71 K10:K14</xm:sqref>
        </x14:dataValidation>
        <x14:dataValidation type="list" allowBlank="1" showInputMessage="1" showErrorMessage="1">
          <x14:formula1>
            <xm:f>DataSet!$E$29:$E$30</xm:f>
          </x14:formula1>
          <xm:sqref>F34:F38</xm:sqref>
        </x14:dataValidation>
        <x14:dataValidation type="list" allowBlank="1" showInputMessage="1" showErrorMessage="1">
          <x14:formula1>
            <xm:f>DataSet!$E$32:$E$37</xm:f>
          </x14:formula1>
          <xm:sqref>F42:G49</xm:sqref>
        </x14:dataValidation>
        <x14:dataValidation type="list" allowBlank="1" showInputMessage="1" showErrorMessage="1">
          <x14:formula1>
            <xm:f>DataSet!$E$39:$E$50</xm:f>
          </x14:formula1>
          <xm:sqref>F53:G60</xm:sqref>
        </x14:dataValidation>
        <x14:dataValidation type="list" allowBlank="1" showInputMessage="1" showErrorMessage="1">
          <x14:formula1>
            <xm:f>DataSet!$E$52:$E$61</xm:f>
          </x14:formula1>
          <xm:sqref>F64:G71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79"/>
  <sheetViews>
    <sheetView zoomScaleNormal="100" workbookViewId="0">
      <selection activeCell="B10" sqref="B10:G11"/>
    </sheetView>
  </sheetViews>
  <sheetFormatPr defaultRowHeight="24" x14ac:dyDescent="0.55000000000000004"/>
  <cols>
    <col min="1" max="1" width="4.25" style="31" customWidth="1"/>
    <col min="2" max="2" width="12.75" style="31" customWidth="1"/>
    <col min="3" max="3" width="3.625" style="62" customWidth="1"/>
    <col min="4" max="4" width="3.25" style="62" customWidth="1"/>
    <col min="5" max="5" width="12.5" style="31" customWidth="1"/>
    <col min="6" max="6" width="5.5" style="31" customWidth="1"/>
    <col min="7" max="7" width="17.5" style="31" customWidth="1"/>
    <col min="8" max="8" width="22" style="31" customWidth="1"/>
    <col min="9" max="9" width="5.5" style="62" customWidth="1"/>
    <col min="10" max="10" width="6" style="62" customWidth="1"/>
    <col min="11" max="11" width="9.5" style="65" customWidth="1"/>
    <col min="12" max="12" width="9" style="31"/>
    <col min="13" max="13" width="7.875" style="31" customWidth="1"/>
    <col min="14" max="17" width="0" style="31" hidden="1" customWidth="1"/>
    <col min="18" max="18" width="12.375" style="31" hidden="1" customWidth="1"/>
    <col min="19" max="19" width="0" style="62" hidden="1" customWidth="1"/>
    <col min="20" max="31" width="0" style="31" hidden="1" customWidth="1"/>
    <col min="32" max="16384" width="9" style="31"/>
  </cols>
  <sheetData>
    <row r="1" spans="1:14" ht="26.25" customHeight="1" x14ac:dyDescent="0.7">
      <c r="A1" s="389" t="s">
        <v>70</v>
      </c>
      <c r="B1" s="389"/>
      <c r="C1" s="389"/>
      <c r="D1" s="389"/>
      <c r="E1" s="389"/>
      <c r="F1" s="389"/>
      <c r="G1" s="389"/>
      <c r="H1" s="389"/>
      <c r="I1" s="390">
        <f>DataSet!F5</f>
        <v>0</v>
      </c>
      <c r="J1" s="390"/>
      <c r="L1" s="101"/>
      <c r="M1" s="101"/>
    </row>
    <row r="2" spans="1:14" ht="26.25" customHeight="1" x14ac:dyDescent="0.55000000000000004">
      <c r="A2" s="396" t="s">
        <v>55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</row>
    <row r="3" spans="1:14" ht="9.75" customHeight="1" thickBot="1" x14ac:dyDescent="0.6"/>
    <row r="4" spans="1:14" ht="31.5" thickBot="1" x14ac:dyDescent="0.75">
      <c r="A4" s="397" t="s">
        <v>220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9"/>
    </row>
    <row r="5" spans="1:14" ht="10.5" customHeight="1" thickBot="1" x14ac:dyDescent="0.7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4" s="63" customFormat="1" ht="31.5" thickBot="1" x14ac:dyDescent="0.75">
      <c r="A6" s="403" t="s">
        <v>138</v>
      </c>
      <c r="B6" s="400"/>
      <c r="C6" s="400"/>
      <c r="D6" s="400"/>
      <c r="E6" s="400"/>
      <c r="F6" s="400"/>
      <c r="G6" s="400"/>
      <c r="H6" s="402" t="s">
        <v>77</v>
      </c>
      <c r="I6" s="402"/>
      <c r="J6" s="402"/>
      <c r="K6" s="74">
        <f>SUM(K8,K13,K17,K40)</f>
        <v>0</v>
      </c>
      <c r="L6" s="400" t="s">
        <v>345</v>
      </c>
      <c r="M6" s="401"/>
    </row>
    <row r="7" spans="1:14" s="63" customFormat="1" ht="7.5" customHeight="1" thickBot="1" x14ac:dyDescent="0.7">
      <c r="A7" s="395"/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</row>
    <row r="8" spans="1:14" s="64" customFormat="1" x14ac:dyDescent="0.55000000000000004">
      <c r="A8" s="116" t="s">
        <v>205</v>
      </c>
      <c r="B8" s="81"/>
      <c r="C8" s="81"/>
      <c r="D8" s="81"/>
      <c r="E8" s="81"/>
      <c r="F8" s="81"/>
      <c r="G8" s="81"/>
      <c r="H8" s="376" t="s">
        <v>78</v>
      </c>
      <c r="I8" s="376"/>
      <c r="J8" s="376"/>
      <c r="K8" s="82">
        <f>IF(M10=" ",0,M10)</f>
        <v>0</v>
      </c>
      <c r="L8" s="367" t="s">
        <v>345</v>
      </c>
      <c r="M8" s="369"/>
    </row>
    <row r="9" spans="1:14" s="66" customFormat="1" ht="24.75" customHeight="1" x14ac:dyDescent="0.55000000000000004">
      <c r="A9" s="117" t="s">
        <v>153</v>
      </c>
      <c r="B9" s="394" t="s">
        <v>139</v>
      </c>
      <c r="C9" s="394"/>
      <c r="D9" s="394"/>
      <c r="E9" s="394"/>
      <c r="F9" s="394"/>
      <c r="G9" s="375"/>
      <c r="H9" s="371" t="s">
        <v>208</v>
      </c>
      <c r="I9" s="372"/>
      <c r="J9" s="372"/>
      <c r="K9" s="373"/>
      <c r="L9" s="98" t="s">
        <v>85</v>
      </c>
      <c r="M9" s="118" t="s">
        <v>68</v>
      </c>
    </row>
    <row r="10" spans="1:14" s="66" customFormat="1" ht="24.75" customHeight="1" x14ac:dyDescent="0.55000000000000004">
      <c r="A10" s="378">
        <v>1</v>
      </c>
      <c r="B10" s="380"/>
      <c r="C10" s="381"/>
      <c r="D10" s="381"/>
      <c r="E10" s="381"/>
      <c r="F10" s="381"/>
      <c r="G10" s="382"/>
      <c r="H10" s="404" t="s">
        <v>161</v>
      </c>
      <c r="I10" s="405"/>
      <c r="J10" s="405"/>
      <c r="K10" s="406"/>
      <c r="L10" s="412"/>
      <c r="M10" s="410" t="str">
        <f>IF(B10=0," ",IF(L10=DataSet!E25,0,IF(B10=DataSet!E63,DataSet!G63,IF(B10=DataSet!E64,DataSet!G64,IF(B10=DataSet!E65,DataSet!G65,IF(B10=DataSet!E66,DataSet!G66,0))))))</f>
        <v xml:space="preserve"> </v>
      </c>
    </row>
    <row r="11" spans="1:14" ht="24" customHeight="1" thickBot="1" x14ac:dyDescent="0.6">
      <c r="A11" s="379"/>
      <c r="B11" s="383"/>
      <c r="C11" s="384"/>
      <c r="D11" s="384"/>
      <c r="E11" s="384"/>
      <c r="F11" s="384"/>
      <c r="G11" s="385"/>
      <c r="H11" s="407"/>
      <c r="I11" s="408"/>
      <c r="J11" s="408"/>
      <c r="K11" s="409"/>
      <c r="L11" s="413"/>
      <c r="M11" s="411"/>
      <c r="N11" s="83"/>
    </row>
    <row r="12" spans="1:14" ht="7.5" customHeight="1" thickBot="1" x14ac:dyDescent="0.6">
      <c r="A12" s="377"/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83"/>
    </row>
    <row r="13" spans="1:14" x14ac:dyDescent="0.55000000000000004">
      <c r="A13" s="116" t="s">
        <v>206</v>
      </c>
      <c r="B13" s="81"/>
      <c r="C13" s="81"/>
      <c r="D13" s="81"/>
      <c r="E13" s="81"/>
      <c r="F13" s="81"/>
      <c r="G13" s="81"/>
      <c r="H13" s="376" t="s">
        <v>78</v>
      </c>
      <c r="I13" s="376"/>
      <c r="J13" s="376"/>
      <c r="K13" s="82">
        <f>IF(M10=" ",0,M15)</f>
        <v>0</v>
      </c>
      <c r="L13" s="367" t="s">
        <v>345</v>
      </c>
      <c r="M13" s="369"/>
      <c r="N13" s="83"/>
    </row>
    <row r="14" spans="1:14" x14ac:dyDescent="0.55000000000000004">
      <c r="A14" s="119" t="s">
        <v>153</v>
      </c>
      <c r="B14" s="374" t="s">
        <v>139</v>
      </c>
      <c r="C14" s="374"/>
      <c r="D14" s="374"/>
      <c r="E14" s="374"/>
      <c r="F14" s="374"/>
      <c r="G14" s="374"/>
      <c r="H14" s="371" t="s">
        <v>208</v>
      </c>
      <c r="I14" s="372"/>
      <c r="J14" s="372"/>
      <c r="K14" s="373"/>
      <c r="L14" s="85" t="s">
        <v>85</v>
      </c>
      <c r="M14" s="86" t="s">
        <v>68</v>
      </c>
    </row>
    <row r="15" spans="1:14" ht="24.75" thickBot="1" x14ac:dyDescent="0.6">
      <c r="A15" s="61">
        <v>1</v>
      </c>
      <c r="B15" s="479" t="s">
        <v>347</v>
      </c>
      <c r="C15" s="480"/>
      <c r="D15" s="480"/>
      <c r="E15" s="122" t="s">
        <v>209</v>
      </c>
      <c r="F15" s="115"/>
      <c r="G15" s="123" t="s">
        <v>143</v>
      </c>
      <c r="H15" s="386" t="s">
        <v>287</v>
      </c>
      <c r="I15" s="387"/>
      <c r="J15" s="387"/>
      <c r="K15" s="388"/>
      <c r="L15" s="156"/>
      <c r="M15" s="95" t="str">
        <f>IF(F15=0," ",IF(F15=0,0,IF(L15=DataSet!E25,0,(F15*1)/5)))</f>
        <v xml:space="preserve"> </v>
      </c>
    </row>
    <row r="16" spans="1:14" ht="7.5" customHeight="1" thickBot="1" x14ac:dyDescent="0.6">
      <c r="A16" s="377"/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</row>
    <row r="17" spans="1:13" x14ac:dyDescent="0.55000000000000004">
      <c r="A17" s="366" t="s">
        <v>210</v>
      </c>
      <c r="B17" s="367"/>
      <c r="C17" s="367"/>
      <c r="D17" s="367"/>
      <c r="E17" s="367"/>
      <c r="F17" s="367"/>
      <c r="G17" s="367"/>
      <c r="H17" s="367"/>
      <c r="I17" s="368" t="s">
        <v>78</v>
      </c>
      <c r="J17" s="368"/>
      <c r="K17" s="82">
        <f>SUM(M19:M38)</f>
        <v>0</v>
      </c>
      <c r="L17" s="367" t="s">
        <v>345</v>
      </c>
      <c r="M17" s="369"/>
    </row>
    <row r="18" spans="1:13" x14ac:dyDescent="0.55000000000000004">
      <c r="A18" s="119" t="s">
        <v>153</v>
      </c>
      <c r="B18" s="374" t="s">
        <v>139</v>
      </c>
      <c r="C18" s="374"/>
      <c r="D18" s="374"/>
      <c r="E18" s="374"/>
      <c r="F18" s="374"/>
      <c r="G18" s="374"/>
      <c r="H18" s="84" t="s">
        <v>71</v>
      </c>
      <c r="I18" s="371" t="s">
        <v>151</v>
      </c>
      <c r="J18" s="372"/>
      <c r="K18" s="375"/>
      <c r="L18" s="85" t="s">
        <v>85</v>
      </c>
      <c r="M18" s="86" t="s">
        <v>68</v>
      </c>
    </row>
    <row r="19" spans="1:13" x14ac:dyDescent="0.55000000000000004">
      <c r="A19" s="120">
        <v>1</v>
      </c>
      <c r="B19" s="364"/>
      <c r="C19" s="364"/>
      <c r="D19" s="364"/>
      <c r="E19" s="364"/>
      <c r="F19" s="364"/>
      <c r="G19" s="364"/>
      <c r="H19" s="103" t="s">
        <v>147</v>
      </c>
      <c r="I19" s="91" t="str">
        <f>IF(H19=0, " ", IF(H19&gt;0, "จำนวน", " "))</f>
        <v>จำนวน</v>
      </c>
      <c r="J19" s="99">
        <v>1.5</v>
      </c>
      <c r="K19" s="92" t="str">
        <f>IF(H19= 0, " ", IF(H19=DataSet!E68, "หน่วยกิต", "ชั่วโมง"))</f>
        <v>ชั่วโมง</v>
      </c>
      <c r="L19" s="157"/>
      <c r="M19" s="100" t="str">
        <f>IF(B19= 0, " ", IF(L19= DataSet!E25, 0, IF(H19= DataSet!E68, ((J19*DataSet!G68)/15), IF(H19= DataSet!E69, ((((J19*15)/15)*9)/45), IF(H19= DataSet!E70, ((J19*DataSet!G70)/15), IF(H19= DataSet!E71, ((J19*DataSet!G71)/15), IF(H19= DataSet!E72, ((J19*DataSet!G72)/15), IF(H19= DataSet!E73, ((J19*DataSet!G73)/15), IF(H19= DataSet!E74, ((J19*DataSet!G74)/15),  0)))))))))</f>
        <v xml:space="preserve"> </v>
      </c>
    </row>
    <row r="20" spans="1:13" x14ac:dyDescent="0.55000000000000004">
      <c r="A20" s="120">
        <v>2</v>
      </c>
      <c r="B20" s="364"/>
      <c r="C20" s="364"/>
      <c r="D20" s="364"/>
      <c r="E20" s="364"/>
      <c r="F20" s="364"/>
      <c r="G20" s="364"/>
      <c r="H20" s="96" t="s">
        <v>147</v>
      </c>
      <c r="I20" s="87" t="str">
        <f t="shared" ref="I20:I33" si="0">IF(H20=0, " ", IF(H20&gt;0, "จำนวน", " "))</f>
        <v>จำนวน</v>
      </c>
      <c r="J20" s="88">
        <v>8</v>
      </c>
      <c r="K20" s="89" t="str">
        <f>IF(H20= 0, " ", IF(H20=DataSet!E68, "หน่วยกิต", "ชั่วโมง"))</f>
        <v>ชั่วโมง</v>
      </c>
      <c r="L20" s="158"/>
      <c r="M20" s="90" t="str">
        <f>IF(B20= 0, " ", IF(L20= DataSet!E25, 0, IF(H20= DataSet!E68, ((J20*DataSet!G68)/15), IF(H20= DataSet!E69,  ((((J20*15)/15)*9)/45), IF(H20= DataSet!E70, ((J20*DataSet!G70)/15), IF(H20= DataSet!E71, ((J20*DataSet!G71)/15), IF(H20= DataSet!E72, ((J20*DataSet!G72)/15), IF(H20= DataSet!E73, ((J20*DataSet!G73)/15), IF(H20= DataSet!E74, ((J20*DataSet!G74)/15),  0)))))))))</f>
        <v xml:space="preserve"> </v>
      </c>
    </row>
    <row r="21" spans="1:13" x14ac:dyDescent="0.55000000000000004">
      <c r="A21" s="120">
        <v>3</v>
      </c>
      <c r="B21" s="364"/>
      <c r="C21" s="364"/>
      <c r="D21" s="364"/>
      <c r="E21" s="364"/>
      <c r="F21" s="364"/>
      <c r="G21" s="364"/>
      <c r="H21" s="96"/>
      <c r="I21" s="91" t="str">
        <f t="shared" si="0"/>
        <v xml:space="preserve"> </v>
      </c>
      <c r="J21" s="99"/>
      <c r="K21" s="92" t="str">
        <f>IF(H21= 0, " ", IF(H21=DataSet!E68, "หน่วยกิต", "ชั่วโมง"))</f>
        <v xml:space="preserve"> </v>
      </c>
      <c r="L21" s="158"/>
      <c r="M21" s="90" t="str">
        <f>IF(B21= 0, " ", IF(L21= DataSet!E25, 0, IF(H21= DataSet!E68, ((J21*DataSet!G68)/15), IF(H21= DataSet!E69,  ((((J21*15)/15)*9)/45), IF(H21= DataSet!E70, ((J21*DataSet!G70)/15), IF(H21= DataSet!E71, ((J21*DataSet!G71)/15), IF(H21= DataSet!E72, ((J21*DataSet!G72)/15), IF(H21= DataSet!E73, ((J21*DataSet!G73)/15), IF(H21= DataSet!E74, ((J21*DataSet!G74)/15),  0)))))))))</f>
        <v xml:space="preserve"> </v>
      </c>
    </row>
    <row r="22" spans="1:13" x14ac:dyDescent="0.55000000000000004">
      <c r="A22" s="120">
        <v>4</v>
      </c>
      <c r="B22" s="364"/>
      <c r="C22" s="364"/>
      <c r="D22" s="364"/>
      <c r="E22" s="364"/>
      <c r="F22" s="364"/>
      <c r="G22" s="364"/>
      <c r="H22" s="96"/>
      <c r="I22" s="87" t="str">
        <f t="shared" si="0"/>
        <v xml:space="preserve"> </v>
      </c>
      <c r="J22" s="88"/>
      <c r="K22" s="89" t="str">
        <f>IF(H22= 0, " ", IF(H22=DataSet!E68, "หน่วยกิต", "ชั่วโมง"))</f>
        <v xml:space="preserve"> </v>
      </c>
      <c r="L22" s="158"/>
      <c r="M22" s="90" t="str">
        <f>IF(B22= 0, " ", IF(L22= DataSet!E25, 0, IF(H22= DataSet!E68, ((J22*DataSet!G68)/15), IF(H22= DataSet!E69,  ((((J22*15)/15)*9)/45), IF(H22= DataSet!E70, ((J22*DataSet!G70)/15), IF(H22= DataSet!E71, ((J22*DataSet!G71)/15), IF(H22= DataSet!E72, ((J22*DataSet!G72)/15), IF(H22= DataSet!E73, ((J22*DataSet!G73)/15), IF(H22= DataSet!E74, ((J22*DataSet!G74)/15),  0)))))))))</f>
        <v xml:space="preserve"> </v>
      </c>
    </row>
    <row r="23" spans="1:13" x14ac:dyDescent="0.55000000000000004">
      <c r="A23" s="120">
        <v>5</v>
      </c>
      <c r="B23" s="364"/>
      <c r="C23" s="364"/>
      <c r="D23" s="364"/>
      <c r="E23" s="364"/>
      <c r="F23" s="364"/>
      <c r="G23" s="364"/>
      <c r="H23" s="96"/>
      <c r="I23" s="87" t="str">
        <f t="shared" si="0"/>
        <v xml:space="preserve"> </v>
      </c>
      <c r="J23" s="104"/>
      <c r="K23" s="89" t="str">
        <f>IF(H23= 0, " ", IF(H23=DataSet!E68, "หน่วยกิต", "ชั่วโมง"))</f>
        <v xml:space="preserve"> </v>
      </c>
      <c r="L23" s="158"/>
      <c r="M23" s="90" t="str">
        <f>IF(B23= 0, " ", IF(L23=DataSet!E25, 0, IF(H23= DataSet!E68, ((J23*DataSet!G68)/15), IF(H23= DataSet!E69,  ((((J23*15)/15)*9)/45), IF(H23= DataSet!E70, ((J23*DataSet!G70)/15), IF(H23= DataSet!E71, ((J23*DataSet!G71)/15), IF(H23= DataSet!E72, ((J23*DataSet!G72)/15), IF(H23= DataSet!E73, ((J23*DataSet!G73)/15), IF(H23= DataSet!E74, ((J23*DataSet!G74)/15),  0)))))))))</f>
        <v xml:space="preserve"> </v>
      </c>
    </row>
    <row r="24" spans="1:13" x14ac:dyDescent="0.55000000000000004">
      <c r="A24" s="120">
        <v>6</v>
      </c>
      <c r="B24" s="364"/>
      <c r="C24" s="364"/>
      <c r="D24" s="364"/>
      <c r="E24" s="364"/>
      <c r="F24" s="364"/>
      <c r="G24" s="364"/>
      <c r="H24" s="96"/>
      <c r="I24" s="87" t="str">
        <f t="shared" si="0"/>
        <v xml:space="preserve"> </v>
      </c>
      <c r="J24" s="104"/>
      <c r="K24" s="89" t="str">
        <f>IF(H24= 0, " ", IF(H24=DataSet!E68, "หน่วยกิต", "ชั่วโมง"))</f>
        <v xml:space="preserve"> </v>
      </c>
      <c r="L24" s="158"/>
      <c r="M24" s="90" t="str">
        <f>IF(B24= 0, " ", IF(L24= DataSet!E25, 0, IF(H24= DataSet!E68, ((J24*DataSet!G68)/15), IF(H24= DataSet!E69, ((((J24*15)/15)*9)/45), IF(H24= DataSet!E70, ((J24*DataSet!G70)/15), IF(H24= DataSet!E71, ((J24*DataSet!G71)/15), IF(H24= DataSet!E72, ((J24*DataSet!G72)/15), IF(H24= DataSet!E73, ((J24*DataSet!G73)/15), IF(H24= DataSet!E74, ((J24*DataSet!G74)/15),  0)))))))))</f>
        <v xml:space="preserve"> </v>
      </c>
    </row>
    <row r="25" spans="1:13" x14ac:dyDescent="0.55000000000000004">
      <c r="A25" s="120">
        <v>7</v>
      </c>
      <c r="B25" s="364"/>
      <c r="C25" s="364"/>
      <c r="D25" s="364"/>
      <c r="E25" s="364"/>
      <c r="F25" s="364"/>
      <c r="G25" s="364"/>
      <c r="H25" s="96"/>
      <c r="I25" s="91" t="str">
        <f t="shared" si="0"/>
        <v xml:space="preserve"> </v>
      </c>
      <c r="J25" s="105"/>
      <c r="K25" s="92" t="str">
        <f>IF(H25= 0, " ", IF(H25=DataSet!E68, "หน่วยกิต", "ชั่วโมง"))</f>
        <v xml:space="preserve"> </v>
      </c>
      <c r="L25" s="158"/>
      <c r="M25" s="90" t="str">
        <f>IF(B25= 0, " ", IF(L25= DataSet!E25, 0, IF(H25= DataSet!E68, ((J25*DataSet!G68)/15), IF(H25= DataSet!E69,((((J25*15)/15)*9)/45), IF(H25= DataSet!E70, ((J25*DataSet!G70)/15), IF(H25= DataSet!E71, ((J25*DataSet!G71)/15), IF(H25= DataSet!E72, ((J25*DataSet!G72)/15), IF(H25= DataSet!E73, ((J25*DataSet!G73)/15), IF(H25= DataSet!E74, ((J25*DataSet!G74)/15),  0)))))))))</f>
        <v xml:space="preserve"> </v>
      </c>
    </row>
    <row r="26" spans="1:13" x14ac:dyDescent="0.55000000000000004">
      <c r="A26" s="120">
        <v>8</v>
      </c>
      <c r="B26" s="364"/>
      <c r="C26" s="364"/>
      <c r="D26" s="364"/>
      <c r="E26" s="364"/>
      <c r="F26" s="364"/>
      <c r="G26" s="364"/>
      <c r="H26" s="96"/>
      <c r="I26" s="87" t="str">
        <f t="shared" si="0"/>
        <v xml:space="preserve"> </v>
      </c>
      <c r="J26" s="104"/>
      <c r="K26" s="89" t="str">
        <f>IF(H26= 0, " ", IF(H26=DataSet!E68, "หน่วยกิต", "ชั่วโมง"))</f>
        <v xml:space="preserve"> </v>
      </c>
      <c r="L26" s="158"/>
      <c r="M26" s="90" t="str">
        <f>IF(B26= 0, " ", IF(L26=DataSet!E25, 0, IF(H26= DataSet!E68, ((J26*DataSet!G68)/15), IF(H26= DataSet!E69, ((((J26*15)/15)*9)/45), IF(H26= DataSet!E70, ((J26*DataSet!G70)/15), IF(H26= DataSet!E71, ((J26*DataSet!G71)/15), IF(H26= DataSet!E72, ((J26*DataSet!G72)/15), IF(H26= DataSet!E73, ((J26*DataSet!G73)/15), IF(H26= DataSet!E74, ((J26*DataSet!G74)/15),  0)))))))))</f>
        <v xml:space="preserve"> </v>
      </c>
    </row>
    <row r="27" spans="1:13" x14ac:dyDescent="0.55000000000000004">
      <c r="A27" s="120">
        <v>9</v>
      </c>
      <c r="B27" s="364"/>
      <c r="C27" s="364"/>
      <c r="D27" s="364"/>
      <c r="E27" s="364"/>
      <c r="F27" s="364"/>
      <c r="G27" s="364"/>
      <c r="H27" s="96"/>
      <c r="I27" s="87" t="str">
        <f t="shared" si="0"/>
        <v xml:space="preserve"> </v>
      </c>
      <c r="J27" s="104"/>
      <c r="K27" s="89" t="str">
        <f>IF(H27= 0, " ", IF(H27=DataSet!E68, "หน่วยกิต", "ชั่วโมง"))</f>
        <v xml:space="preserve"> </v>
      </c>
      <c r="L27" s="158"/>
      <c r="M27" s="90" t="str">
        <f>IF(B27= 0, " ", IF(L27=DataSet!E25,0, IF(H27= DataSet!E68, ((J27*DataSet!G68)/15), IF(H27= DataSet!E69, ((((J27*15)/15)*9)/45), IF(H27= DataSet!E70, ((J27*DataSet!G70)/15), IF(H27= DataSet!E71, ((J27*DataSet!G71)/15), IF(H27= DataSet!E72, ((J27*DataSet!G72)/15), IF(H27= DataSet!E73, ((J27*DataSet!G73)/15), IF(H27= DataSet!E74, ((J27*DataSet!G74)/15),  0)))))))))</f>
        <v xml:space="preserve"> </v>
      </c>
    </row>
    <row r="28" spans="1:13" x14ac:dyDescent="0.55000000000000004">
      <c r="A28" s="120">
        <v>10</v>
      </c>
      <c r="B28" s="364"/>
      <c r="C28" s="364"/>
      <c r="D28" s="364"/>
      <c r="E28" s="364"/>
      <c r="F28" s="364"/>
      <c r="G28" s="364"/>
      <c r="H28" s="96"/>
      <c r="I28" s="91" t="str">
        <f t="shared" si="0"/>
        <v xml:space="preserve"> </v>
      </c>
      <c r="J28" s="105"/>
      <c r="K28" s="92" t="str">
        <f>IF(H28= 0, " ", IF(H28=DataSet!E68, "หน่วยกิต", "ชั่วโมง"))</f>
        <v xml:space="preserve"> </v>
      </c>
      <c r="L28" s="158"/>
      <c r="M28" s="90" t="str">
        <f>IF(B28= 0, " ", IF(L28= DataSet!E25, 0, IF(H28= DataSet!E68, ((J28*DataSet!G68)/15), IF(H28= DataSet!E69, ((((J28*15)/15)*9)/45), IF(H28= DataSet!E70, ((J28*DataSet!G70)/15), IF(H28= DataSet!E71, ((J28*DataSet!G71)/15), IF(H28= DataSet!E72, ((J28*DataSet!G72)/15), IF(H28= DataSet!E73, ((J28*DataSet!G73)/15), IF(H28= DataSet!E74, ((J28*DataSet!G74)/15),  0)))))))))</f>
        <v xml:space="preserve"> </v>
      </c>
    </row>
    <row r="29" spans="1:13" x14ac:dyDescent="0.55000000000000004">
      <c r="A29" s="120">
        <v>11</v>
      </c>
      <c r="B29" s="364"/>
      <c r="C29" s="364"/>
      <c r="D29" s="364"/>
      <c r="E29" s="364"/>
      <c r="F29" s="364"/>
      <c r="G29" s="364"/>
      <c r="H29" s="96"/>
      <c r="I29" s="91" t="str">
        <f t="shared" si="0"/>
        <v xml:space="preserve"> </v>
      </c>
      <c r="J29" s="105"/>
      <c r="K29" s="92" t="str">
        <f>IF(H29= 0, " ", IF(H29=DataSet!E68, "หน่วยกิต", "ชั่วโมง"))</f>
        <v xml:space="preserve"> </v>
      </c>
      <c r="L29" s="158"/>
      <c r="M29" s="90" t="str">
        <f>IF(B29= 0, " ", IF(L29= DataSet!E25, 0, IF(H29= DataSet!E68, ((J29*DataSet!G68)/15), IF(H29= DataSet!E69, ((((J29*15)/15)*9)/45), IF(H29= DataSet!E70, ((J29*DataSet!G70)/15), IF(H29= DataSet!E71, ((J29*DataSet!G71)/15), IF(H29= DataSet!E72, ((J29*DataSet!G72)/15), IF(H29= DataSet!E73, ((J29*DataSet!G73)/15), IF(H29= DataSet!E74, ((J29*DataSet!G74)/15),  0)))))))))</f>
        <v xml:space="preserve"> </v>
      </c>
    </row>
    <row r="30" spans="1:13" x14ac:dyDescent="0.55000000000000004">
      <c r="A30" s="120">
        <v>12</v>
      </c>
      <c r="B30" s="364"/>
      <c r="C30" s="364"/>
      <c r="D30" s="364"/>
      <c r="E30" s="364"/>
      <c r="F30" s="364"/>
      <c r="G30" s="364"/>
      <c r="H30" s="96"/>
      <c r="I30" s="91" t="str">
        <f t="shared" si="0"/>
        <v xml:space="preserve"> </v>
      </c>
      <c r="J30" s="105"/>
      <c r="K30" s="92" t="str">
        <f>IF(H30= 0, " ", IF(H30=DataSet!E68, "หน่วยกิต", "ชั่วโมง"))</f>
        <v xml:space="preserve"> </v>
      </c>
      <c r="L30" s="158"/>
      <c r="M30" s="90" t="str">
        <f>IF(B30= 0, " ", IF(L30= DataSet!E25, 0, IF(H30= DataSet!E68, ((J30*DataSet!G68)/15), IF(H30= DataSet!E69, ((((J30*15)/15)*9)/45), IF(H30= DataSet!E70, ((J30*DataSet!G70)/15), IF(H30= DataSet!E71, ((J30*DataSet!G71)/15), IF(H30= DataSet!E72, ((J30*DataSet!G72)/15), IF(H30= DataSet!E73, ((J30*DataSet!G73)/15), IF(H30= DataSet!E74, ((J30*DataSet!G74)/15),  0)))))))))</f>
        <v xml:space="preserve"> </v>
      </c>
    </row>
    <row r="31" spans="1:13" x14ac:dyDescent="0.55000000000000004">
      <c r="A31" s="120">
        <v>13</v>
      </c>
      <c r="B31" s="364"/>
      <c r="C31" s="364"/>
      <c r="D31" s="364"/>
      <c r="E31" s="364"/>
      <c r="F31" s="364"/>
      <c r="G31" s="364"/>
      <c r="H31" s="96"/>
      <c r="I31" s="91" t="str">
        <f t="shared" si="0"/>
        <v xml:space="preserve"> </v>
      </c>
      <c r="J31" s="105"/>
      <c r="K31" s="92" t="str">
        <f>IF(H31= 0, " ", IF(H31=DataSet!E68, "หน่วยกิต", "ชั่วโมง"))</f>
        <v xml:space="preserve"> </v>
      </c>
      <c r="L31" s="158"/>
      <c r="M31" s="90" t="str">
        <f>IF(B31= 0, " ", IF(L31= DataSet!E25, 0, IF(H31= DataSet!E68, ((J31*DataSet!G68)/15), IF(H31= DataSet!E69, ((((J31*15)/15)*9)/45), IF(H31= DataSet!E70, ((J31*DataSet!G70)/15), IF(H31= DataSet!E71, ((J31*DataSet!G71)/15), IF(H31= DataSet!E72, ((J31*DataSet!G72)/15), IF(H31= DataSet!E73, ((J31*DataSet!G73)/15), IF(H31= DataSet!E74, ((J31*DataSet!G74)/15), 0)))))))))</f>
        <v xml:space="preserve"> </v>
      </c>
    </row>
    <row r="32" spans="1:13" x14ac:dyDescent="0.55000000000000004">
      <c r="A32" s="120">
        <v>14</v>
      </c>
      <c r="B32" s="364"/>
      <c r="C32" s="364"/>
      <c r="D32" s="364"/>
      <c r="E32" s="364"/>
      <c r="F32" s="364"/>
      <c r="G32" s="364"/>
      <c r="H32" s="96"/>
      <c r="I32" s="91" t="str">
        <f t="shared" si="0"/>
        <v xml:space="preserve"> </v>
      </c>
      <c r="J32" s="105"/>
      <c r="K32" s="92" t="str">
        <f>IF(H32= 0, " ", IF(H32=DataSet!E68, "หน่วยกิต", "ชั่วโมง"))</f>
        <v xml:space="preserve"> </v>
      </c>
      <c r="L32" s="158"/>
      <c r="M32" s="90" t="str">
        <f>IF(B32= 0, " ", IF(L32= DataSet!E25, 0, IF(H32= DataSet!E68, ((J32*DataSet!G68)/15), IF(H32= DataSet!E69, ((((J32*15)/15)*9)/45), IF(H32= DataSet!E70, ((J32*DataSet!G70)/15), IF(H32= DataSet!E71, ((J32*DataSet!G71)/15), IF(H32= DataSet!E72, ((J32*DataSet!G72)/15), IF(H32= DataSet!E73, ((J32*DataSet!G73)/15), IF(H32= DataSet!E74, ((J32*DataSet!G74)/15),  0)))))))))</f>
        <v xml:space="preserve"> </v>
      </c>
    </row>
    <row r="33" spans="1:13" x14ac:dyDescent="0.55000000000000004">
      <c r="A33" s="120">
        <v>15</v>
      </c>
      <c r="B33" s="364"/>
      <c r="C33" s="364"/>
      <c r="D33" s="364"/>
      <c r="E33" s="364"/>
      <c r="F33" s="364"/>
      <c r="G33" s="364"/>
      <c r="H33" s="96"/>
      <c r="I33" s="91" t="str">
        <f t="shared" si="0"/>
        <v xml:space="preserve"> </v>
      </c>
      <c r="J33" s="105"/>
      <c r="K33" s="92" t="str">
        <f>IF(H33= 0, " ", IF(H33=DataSet!E68, "หน่วยกิต", "ชั่วโมง"))</f>
        <v xml:space="preserve"> </v>
      </c>
      <c r="L33" s="158"/>
      <c r="M33" s="90" t="str">
        <f>IF(B33= 0, " ", IF(L33= DataSet!E25, 0, IF(H33= DataSet!E68, ((J33*DataSet!G68)/15), IF(H33= DataSet!E69, ((((J33*15)/15)*9)/45), IF(H33= DataSet!E70, ((J33*DataSet!G70)/15), IF(H33= DataSet!E71, ((J33*DataSet!G71)/15), IF(H33= DataSet!E72, ((J33*DataSet!G72)/15), IF(H33= DataSet!E73, ((J33*DataSet!G73)/15), IF(H33= DataSet!E74, ((J33*DataSet!G74)/15),  0)))))))))</f>
        <v xml:space="preserve"> </v>
      </c>
    </row>
    <row r="34" spans="1:13" x14ac:dyDescent="0.55000000000000004">
      <c r="A34" s="120">
        <v>16</v>
      </c>
      <c r="B34" s="364"/>
      <c r="C34" s="364"/>
      <c r="D34" s="364"/>
      <c r="E34" s="364"/>
      <c r="F34" s="364"/>
      <c r="G34" s="364"/>
      <c r="H34" s="96"/>
      <c r="I34" s="91" t="str">
        <f t="shared" ref="I34:I38" si="1">IF(H34=0, " ", IF(H34&gt;0, "จำนวน", " "))</f>
        <v xml:space="preserve"> </v>
      </c>
      <c r="J34" s="105"/>
      <c r="K34" s="92" t="str">
        <f>IF(H34= 0, " ", IF(H34=DataSet!E69, "หน่วยกิต", "ชั่วโมง"))</f>
        <v xml:space="preserve"> </v>
      </c>
      <c r="L34" s="158"/>
      <c r="M34" s="90" t="str">
        <f>IF(B34= 0, " ", IF(L34= DataSet!E25, 0, IF(H34= DataSet!E68, ((J34*DataSet!G68)/15), IF(H34= DataSet!E69, ((((J34*15)/15)*9)/45), IF(H34= DataSet!E70, ((J34*DataSet!G70)/15), IF(H34= DataSet!E71, ((J34*DataSet!G71)/15), IF(H34= DataSet!E72, ((J34*DataSet!G72)/15), IF(H34= DataSet!E73, ((J34*DataSet!G73)/15), IF(H34= DataSet!E74, ((J34*DataSet!G74)/15),  0)))))))))</f>
        <v xml:space="preserve"> </v>
      </c>
    </row>
    <row r="35" spans="1:13" x14ac:dyDescent="0.55000000000000004">
      <c r="A35" s="120">
        <v>17</v>
      </c>
      <c r="B35" s="364"/>
      <c r="C35" s="364"/>
      <c r="D35" s="364"/>
      <c r="E35" s="364"/>
      <c r="F35" s="364"/>
      <c r="G35" s="364"/>
      <c r="H35" s="96"/>
      <c r="I35" s="91" t="str">
        <f t="shared" si="1"/>
        <v xml:space="preserve"> </v>
      </c>
      <c r="J35" s="105"/>
      <c r="K35" s="92" t="str">
        <f>IF(H35= 0, " ", IF(H35=DataSet!E70, "หน่วยกิต", "ชั่วโมง"))</f>
        <v xml:space="preserve"> </v>
      </c>
      <c r="L35" s="158"/>
      <c r="M35" s="90" t="str">
        <f>IF(B35= 0, " ", IF(L35= DataSet!E25, 0, IF(H35= DataSet!E68, ((J35*DataSet!G68)/15), IF(H35= DataSet!E69, ((((J35*15)/15)*9)/45), IF(H35= DataSet!E70, ((J35*DataSet!G70)/15), IF(H35= DataSet!E71, ((J35*DataSet!G71)/15), IF(H35= DataSet!E72, ((J35*DataSet!G72)/15), IF(H35= DataSet!E73, ((J35*DataSet!G73)/15), IF(H35= DataSet!E74, ((J35*DataSet!G74)/15),  0)))))))))</f>
        <v xml:space="preserve"> </v>
      </c>
    </row>
    <row r="36" spans="1:13" ht="24" customHeight="1" x14ac:dyDescent="0.55000000000000004">
      <c r="A36" s="120">
        <v>18</v>
      </c>
      <c r="B36" s="364"/>
      <c r="C36" s="364"/>
      <c r="D36" s="364"/>
      <c r="E36" s="364"/>
      <c r="F36" s="364"/>
      <c r="G36" s="364"/>
      <c r="H36" s="96"/>
      <c r="I36" s="91" t="str">
        <f t="shared" si="1"/>
        <v xml:space="preserve"> </v>
      </c>
      <c r="J36" s="105"/>
      <c r="K36" s="92" t="str">
        <f>IF(H36= 0, " ", IF(H36=DataSet!E71, "หน่วยกิต", "ชั่วโมง"))</f>
        <v xml:space="preserve"> </v>
      </c>
      <c r="L36" s="158"/>
      <c r="M36" s="90" t="str">
        <f>IF(B36= 0, " ", IF(L36= DataSet!E25, 0, IF(H36= DataSet!E68, ((J36*DataSet!G68)/15), IF(H36= DataSet!E69, ((((J36*15)/15)*9)/45), IF(H36= DataSet!E70, ((J36*DataSet!G70)/15), IF(H36= DataSet!E71, ((J36*DataSet!G71)/15), IF(H36= DataSet!E72, ((J36*DataSet!G72)/15), IF(H36= DataSet!E73, ((J36*DataSet!G73)/15), IF(H36= DataSet!E74, ((J36*DataSet!G74)/15),  0)))))))))</f>
        <v xml:space="preserve"> </v>
      </c>
    </row>
    <row r="37" spans="1:13" x14ac:dyDescent="0.55000000000000004">
      <c r="A37" s="120">
        <v>19</v>
      </c>
      <c r="B37" s="364"/>
      <c r="C37" s="364"/>
      <c r="D37" s="364"/>
      <c r="E37" s="364"/>
      <c r="F37" s="364"/>
      <c r="G37" s="364"/>
      <c r="H37" s="96"/>
      <c r="I37" s="91" t="str">
        <f t="shared" si="1"/>
        <v xml:space="preserve"> </v>
      </c>
      <c r="J37" s="105"/>
      <c r="K37" s="92" t="str">
        <f>IF(H37= 0, " ", IF(H37=DataSet!E72, "หน่วยกิต", "ชั่วโมง"))</f>
        <v xml:space="preserve"> </v>
      </c>
      <c r="L37" s="158"/>
      <c r="M37" s="90" t="str">
        <f>IF(B37= 0, " ", IF(L37= DataSet!E25, 0, IF(H37= DataSet!E68, ((J37*DataSet!G68)/15), IF(H37= DataSet!E69, ((((J37*15)/15)*9)/45), IF(H37= DataSet!E70, ((J37*DataSet!G70)/15), IF(H37= DataSet!E71, ((J37*DataSet!G71)/15), IF(H37= DataSet!E72, ((J37*DataSet!G72)/15), IF(H37= DataSet!E73, ((J37*DataSet!G73)/15), IF(H37= DataSet!E74, ((J37*DataSet!G74)/15), 0)))))))))</f>
        <v xml:space="preserve"> </v>
      </c>
    </row>
    <row r="38" spans="1:13" ht="24.75" thickBot="1" x14ac:dyDescent="0.6">
      <c r="A38" s="121">
        <v>20</v>
      </c>
      <c r="B38" s="365"/>
      <c r="C38" s="365"/>
      <c r="D38" s="365"/>
      <c r="E38" s="365"/>
      <c r="F38" s="365"/>
      <c r="G38" s="365"/>
      <c r="H38" s="97"/>
      <c r="I38" s="93" t="str">
        <f t="shared" si="1"/>
        <v xml:space="preserve"> </v>
      </c>
      <c r="J38" s="106"/>
      <c r="K38" s="94" t="str">
        <f>IF(H38= 0, " ", IF(H38=DataSet!E73, "หน่วยกิต", "ชั่วโมง"))</f>
        <v xml:space="preserve"> </v>
      </c>
      <c r="L38" s="156"/>
      <c r="M38" s="95" t="str">
        <f>IF(B38= 0, " ", IF(L38= DataSet!E25, 0, IF(H38= DataSet!E68, ((J38*DataSet!G68)/15), IF(H38= DataSet!E69, ((((J38*15)/15)*9)/45), IF(H38= DataSet!E70, ((J38*DataSet!G70)/15), IF(H38= DataSet!E71, ((J38*DataSet!G71)/15), IF(H38= DataSet!E72, ((J38*DataSet!G72)/15), IF(H38= DataSet!E73, ((J38*DataSet!G73)/15), IF(H38= DataSet!E74, ((J38*DataSet!G74)/15), 0)))))))))</f>
        <v xml:space="preserve"> </v>
      </c>
    </row>
    <row r="39" spans="1:13" ht="7.5" customHeight="1" thickBot="1" x14ac:dyDescent="0.6">
      <c r="A39" s="107"/>
      <c r="B39" s="107"/>
      <c r="C39" s="102"/>
      <c r="D39" s="108"/>
      <c r="E39" s="108"/>
      <c r="F39" s="108"/>
      <c r="G39" s="108"/>
      <c r="H39" s="109"/>
      <c r="I39" s="102"/>
      <c r="J39" s="110"/>
      <c r="K39" s="111"/>
      <c r="L39" s="102"/>
      <c r="M39" s="112"/>
    </row>
    <row r="40" spans="1:13" x14ac:dyDescent="0.55000000000000004">
      <c r="A40" s="366" t="s">
        <v>211</v>
      </c>
      <c r="B40" s="367"/>
      <c r="C40" s="367"/>
      <c r="D40" s="367"/>
      <c r="E40" s="367"/>
      <c r="F40" s="367"/>
      <c r="G40" s="367"/>
      <c r="H40" s="367"/>
      <c r="I40" s="368" t="s">
        <v>78</v>
      </c>
      <c r="J40" s="368"/>
      <c r="K40" s="82">
        <f>SUM(M42:M51)</f>
        <v>0</v>
      </c>
      <c r="L40" s="367" t="s">
        <v>345</v>
      </c>
      <c r="M40" s="369"/>
    </row>
    <row r="41" spans="1:13" x14ac:dyDescent="0.55000000000000004">
      <c r="A41" s="124" t="s">
        <v>153</v>
      </c>
      <c r="B41" s="370" t="s">
        <v>139</v>
      </c>
      <c r="C41" s="370"/>
      <c r="D41" s="370"/>
      <c r="E41" s="370"/>
      <c r="F41" s="370"/>
      <c r="G41" s="370"/>
      <c r="H41" s="84" t="s">
        <v>71</v>
      </c>
      <c r="I41" s="371" t="s">
        <v>151</v>
      </c>
      <c r="J41" s="372"/>
      <c r="K41" s="373"/>
      <c r="L41" s="85" t="s">
        <v>85</v>
      </c>
      <c r="M41" s="86" t="s">
        <v>68</v>
      </c>
    </row>
    <row r="42" spans="1:13" ht="24" customHeight="1" x14ac:dyDescent="0.55000000000000004">
      <c r="A42" s="120">
        <v>1</v>
      </c>
      <c r="B42" s="364"/>
      <c r="C42" s="364"/>
      <c r="D42" s="364"/>
      <c r="E42" s="364"/>
      <c r="F42" s="364"/>
      <c r="G42" s="364"/>
      <c r="H42" s="103"/>
      <c r="I42" s="391" t="s">
        <v>207</v>
      </c>
      <c r="J42" s="391"/>
      <c r="K42" s="391"/>
      <c r="L42" s="159"/>
      <c r="M42" s="100" t="str">
        <f>IF(B42=0," ",IF(L42=DataSet!E25,0,IF(H42=DataSet!E76, DataSet!G76,IF(H42=DataSet!E77, DataSet!G77,IF(H42=DataSet!E78, DataSet!G78,IF(H42=DataSet!E79, DataSet!G79,IF(H42=DataSet!E80, DataSet!G80,IF(H42=DataSet!E81, DataSet!G81,IF(H42=DataSet!E82, DataSet!G82,IF(H42=DataSet!E83, DataSet!G83,0))))))))))</f>
        <v xml:space="preserve"> </v>
      </c>
    </row>
    <row r="43" spans="1:13" x14ac:dyDescent="0.55000000000000004">
      <c r="A43" s="120">
        <v>2</v>
      </c>
      <c r="B43" s="364"/>
      <c r="C43" s="364"/>
      <c r="D43" s="364"/>
      <c r="E43" s="364"/>
      <c r="F43" s="364"/>
      <c r="G43" s="364"/>
      <c r="H43" s="96"/>
      <c r="I43" s="392"/>
      <c r="J43" s="392"/>
      <c r="K43" s="392"/>
      <c r="L43" s="160"/>
      <c r="M43" s="90" t="str">
        <f>IF(B43=0," ",IF(L43=DataSet!E25,0,IF(H43=DataSet!E76, DataSet!G76,IF(H43=DataSet!E77, DataSet!G77,IF(H43=DataSet!E78, DataSet!G78,IF(H43=DataSet!E79, DataSet!G79,IF(H43=DataSet!E80, DataSet!G80,IF(H43=DataSet!E81, DataSet!G81,IF(H43=DataSet!E82, DataSet!G82,IF(H43=DataSet!E83, DataSet!G83,0))))))))))</f>
        <v xml:space="preserve"> </v>
      </c>
    </row>
    <row r="44" spans="1:13" x14ac:dyDescent="0.55000000000000004">
      <c r="A44" s="120">
        <v>3</v>
      </c>
      <c r="B44" s="364"/>
      <c r="C44" s="364"/>
      <c r="D44" s="364"/>
      <c r="E44" s="364"/>
      <c r="F44" s="364"/>
      <c r="G44" s="364"/>
      <c r="H44" s="96"/>
      <c r="I44" s="392"/>
      <c r="J44" s="392"/>
      <c r="K44" s="392"/>
      <c r="L44" s="160"/>
      <c r="M44" s="90" t="str">
        <f>IF(B44=0," ",IF(L44=DataSet!E25,0,IF(H44=DataSet!E76, DataSet!G76,IF(H44=DataSet!E77, DataSet!G77,IF(H44=DataSet!E78, DataSet!G78,IF(H44=DataSet!E79, DataSet!G79,IF(H44=DataSet!E80, DataSet!G80,IF(H44=DataSet!E81, DataSet!G81,IF(H44=DataSet!E82, DataSet!G82,IF(H44=DataSet!E83, DataSet!G83,0))))))))))</f>
        <v xml:space="preserve"> </v>
      </c>
    </row>
    <row r="45" spans="1:13" x14ac:dyDescent="0.55000000000000004">
      <c r="A45" s="120">
        <v>4</v>
      </c>
      <c r="B45" s="364"/>
      <c r="C45" s="364"/>
      <c r="D45" s="364"/>
      <c r="E45" s="364"/>
      <c r="F45" s="364"/>
      <c r="G45" s="364"/>
      <c r="H45" s="96"/>
      <c r="I45" s="392"/>
      <c r="J45" s="392"/>
      <c r="K45" s="392"/>
      <c r="L45" s="160"/>
      <c r="M45" s="90" t="str">
        <f>IF(B45=0," ",IF(L45=DataSet!E25,0,IF(H45=DataSet!E76, DataSet!G76,IF(H45=DataSet!E77, DataSet!G77,IF(H45=DataSet!E78, DataSet!G78,IF(H45=DataSet!E79, DataSet!G79,IF(H45=DataSet!E80, DataSet!G80,IF(H45=DataSet!E81, DataSet!G81,IF(H45=DataSet!E82, DataSet!G82,IF(H45=DataSet!E83, DataSet!G83,0))))))))))</f>
        <v xml:space="preserve"> </v>
      </c>
    </row>
    <row r="46" spans="1:13" x14ac:dyDescent="0.55000000000000004">
      <c r="A46" s="120">
        <v>5</v>
      </c>
      <c r="B46" s="364"/>
      <c r="C46" s="364"/>
      <c r="D46" s="364"/>
      <c r="E46" s="364"/>
      <c r="F46" s="364"/>
      <c r="G46" s="364"/>
      <c r="H46" s="96"/>
      <c r="I46" s="392"/>
      <c r="J46" s="392"/>
      <c r="K46" s="392"/>
      <c r="L46" s="160"/>
      <c r="M46" s="90" t="str">
        <f>IF(B46=0," ",IF(L46=DataSet!E25,0,IF(H46=DataSet!E76, DataSet!G76,IF(H46=DataSet!E77, DataSet!G77,IF(H46=DataSet!E78, DataSet!G78,IF(H46=DataSet!E79, DataSet!G79,IF(H46=DataSet!E80, DataSet!G80,IF(H46=DataSet!E81, DataSet!G81,IF(H46=DataSet!E82, DataSet!G82,IF(H46=DataSet!E83, DataSet!G83,0))))))))))</f>
        <v xml:space="preserve"> </v>
      </c>
    </row>
    <row r="47" spans="1:13" x14ac:dyDescent="0.55000000000000004">
      <c r="A47" s="120">
        <v>6</v>
      </c>
      <c r="B47" s="364"/>
      <c r="C47" s="364"/>
      <c r="D47" s="364"/>
      <c r="E47" s="364"/>
      <c r="F47" s="364"/>
      <c r="G47" s="364"/>
      <c r="H47" s="96"/>
      <c r="I47" s="392"/>
      <c r="J47" s="392"/>
      <c r="K47" s="392"/>
      <c r="L47" s="160"/>
      <c r="M47" s="90" t="str">
        <f>IF(B47=0," ",IF(L47=DataSet!E25,0,IF(H47=DataSet!E76, DataSet!G76,IF(H47=DataSet!E77, DataSet!G77,IF(H47=DataSet!E78, DataSet!G78,IF(H47=DataSet!E79, DataSet!G79,IF(H47=DataSet!E80, DataSet!G80,IF(H47=DataSet!E81, DataSet!G81,IF(H47=DataSet!E82, DataSet!G82,IF(H47=DataSet!E83, DataSet!G83,0))))))))))</f>
        <v xml:space="preserve"> </v>
      </c>
    </row>
    <row r="48" spans="1:13" x14ac:dyDescent="0.55000000000000004">
      <c r="A48" s="120">
        <v>7</v>
      </c>
      <c r="B48" s="364"/>
      <c r="C48" s="364"/>
      <c r="D48" s="364"/>
      <c r="E48" s="364"/>
      <c r="F48" s="364"/>
      <c r="G48" s="364"/>
      <c r="H48" s="96"/>
      <c r="I48" s="392"/>
      <c r="J48" s="392"/>
      <c r="K48" s="392"/>
      <c r="L48" s="160"/>
      <c r="M48" s="90" t="str">
        <f>IF(B48=0," ",IF(L48=DataSet!E25,0,IF(H48=DataSet!E76, DataSet!G76,IF(H48=DataSet!E77, DataSet!G77,IF(H48=DataSet!E78, DataSet!G78,IF(H48=DataSet!E79, DataSet!G79,IF(H48=DataSet!E80, DataSet!G80,IF(H48=DataSet!E81, DataSet!G81,IF(H48=DataSet!E82, DataSet!G82,IF(H48=DataSet!E83, DataSet!G83,0))))))))))</f>
        <v xml:space="preserve"> </v>
      </c>
    </row>
    <row r="49" spans="1:19" x14ac:dyDescent="0.55000000000000004">
      <c r="A49" s="120">
        <v>8</v>
      </c>
      <c r="B49" s="364"/>
      <c r="C49" s="364"/>
      <c r="D49" s="364"/>
      <c r="E49" s="364"/>
      <c r="F49" s="364"/>
      <c r="G49" s="364"/>
      <c r="H49" s="96"/>
      <c r="I49" s="392"/>
      <c r="J49" s="392"/>
      <c r="K49" s="392"/>
      <c r="L49" s="160"/>
      <c r="M49" s="90" t="str">
        <f>IF(B49=0," ",IF(L49=DataSet!E25,0,IF(H49=DataSet!E76, DataSet!G76,IF(H49=DataSet!E77, DataSet!G77,IF(H49=DataSet!E78, DataSet!G78,IF(H49=DataSet!E79, DataSet!G79,IF(H49=DataSet!E80, DataSet!G80,IF(H49=DataSet!E81, DataSet!G81,IF(H49=DataSet!E82, DataSet!G82,IF(H49=DataSet!E83, DataSet!G83,0))))))))))</f>
        <v xml:space="preserve"> </v>
      </c>
    </row>
    <row r="50" spans="1:19" x14ac:dyDescent="0.55000000000000004">
      <c r="A50" s="120">
        <v>9</v>
      </c>
      <c r="B50" s="364"/>
      <c r="C50" s="364"/>
      <c r="D50" s="364"/>
      <c r="E50" s="364"/>
      <c r="F50" s="364"/>
      <c r="G50" s="364"/>
      <c r="H50" s="96"/>
      <c r="I50" s="392"/>
      <c r="J50" s="392"/>
      <c r="K50" s="392"/>
      <c r="L50" s="160"/>
      <c r="M50" s="90" t="str">
        <f>IF(B50=0," ",IF(L50=DataSet!E25,0,IF(H50=DataSet!E76, DataSet!G76,IF(H50=DataSet!E77, DataSet!G77,IF(H50=DataSet!E78, DataSet!G78,IF(H50=DataSet!E79, DataSet!G79,IF(H50=DataSet!E80, DataSet!G80,IF(H50=DataSet!E81, DataSet!G81,IF(H50=DataSet!E82, DataSet!G82,IF(H50=DataSet!E83, DataSet!G83,0))))))))))</f>
        <v xml:space="preserve"> </v>
      </c>
    </row>
    <row r="51" spans="1:19" ht="24.75" thickBot="1" x14ac:dyDescent="0.6">
      <c r="A51" s="121">
        <v>10</v>
      </c>
      <c r="B51" s="365"/>
      <c r="C51" s="365"/>
      <c r="D51" s="365"/>
      <c r="E51" s="365"/>
      <c r="F51" s="365"/>
      <c r="G51" s="365"/>
      <c r="H51" s="97"/>
      <c r="I51" s="393"/>
      <c r="J51" s="393"/>
      <c r="K51" s="393"/>
      <c r="L51" s="161"/>
      <c r="M51" s="95" t="str">
        <f>IF(B51=0," ",IF(L51=DataSet!E25,0,IF(H51=DataSet!E76, DataSet!G76,IF(H51=DataSet!E77, DataSet!G77,IF(H51=DataSet!E78, DataSet!G78,IF(H51=DataSet!E79, DataSet!G79,IF(H51=DataSet!E80, DataSet!G80,IF(H51=DataSet!E81, DataSet!G81,IF(H51=DataSet!E82, DataSet!G82,IF(H51=DataSet!E83, DataSet!G83,0))))))))))</f>
        <v xml:space="preserve"> </v>
      </c>
    </row>
    <row r="53" spans="1:19" s="140" customFormat="1" x14ac:dyDescent="0.55000000000000004">
      <c r="C53" s="141"/>
      <c r="D53" s="141"/>
      <c r="I53" s="141"/>
      <c r="J53" s="141"/>
      <c r="K53" s="142"/>
      <c r="S53" s="141"/>
    </row>
    <row r="54" spans="1:19" s="140" customFormat="1" x14ac:dyDescent="0.55000000000000004">
      <c r="F54" s="141"/>
      <c r="I54" s="141"/>
      <c r="J54" s="141"/>
      <c r="K54" s="142"/>
      <c r="S54" s="141"/>
    </row>
    <row r="55" spans="1:19" s="140" customFormat="1" ht="27.75" x14ac:dyDescent="0.65">
      <c r="B55" s="143"/>
      <c r="C55" s="143"/>
      <c r="E55" s="143"/>
      <c r="F55" s="146"/>
      <c r="I55" s="141"/>
      <c r="J55" s="141"/>
      <c r="K55" s="142"/>
      <c r="S55" s="141"/>
    </row>
    <row r="56" spans="1:19" s="140" customFormat="1" x14ac:dyDescent="0.55000000000000004">
      <c r="I56" s="141"/>
      <c r="J56" s="141"/>
      <c r="K56" s="142"/>
      <c r="S56" s="141"/>
    </row>
    <row r="57" spans="1:19" s="140" customFormat="1" x14ac:dyDescent="0.55000000000000004">
      <c r="I57" s="141"/>
      <c r="J57" s="141"/>
      <c r="K57" s="142"/>
      <c r="S57" s="141"/>
    </row>
    <row r="58" spans="1:19" s="140" customFormat="1" x14ac:dyDescent="0.55000000000000004">
      <c r="I58" s="141"/>
      <c r="J58" s="141"/>
      <c r="K58" s="142"/>
      <c r="S58" s="141"/>
    </row>
    <row r="59" spans="1:19" s="140" customFormat="1" x14ac:dyDescent="0.55000000000000004">
      <c r="I59" s="141"/>
      <c r="J59" s="141"/>
      <c r="K59" s="142"/>
      <c r="S59" s="141"/>
    </row>
    <row r="60" spans="1:19" s="140" customFormat="1" x14ac:dyDescent="0.55000000000000004">
      <c r="I60" s="141"/>
      <c r="J60" s="141"/>
      <c r="K60" s="142"/>
      <c r="S60" s="141"/>
    </row>
    <row r="61" spans="1:19" s="140" customFormat="1" x14ac:dyDescent="0.55000000000000004">
      <c r="I61" s="141"/>
      <c r="J61" s="141"/>
      <c r="K61" s="142"/>
      <c r="S61" s="141"/>
    </row>
    <row r="62" spans="1:19" s="140" customFormat="1" x14ac:dyDescent="0.55000000000000004">
      <c r="I62" s="141"/>
      <c r="J62" s="141"/>
      <c r="K62" s="142"/>
      <c r="S62" s="141"/>
    </row>
    <row r="63" spans="1:19" s="140" customFormat="1" x14ac:dyDescent="0.55000000000000004">
      <c r="I63" s="141"/>
      <c r="J63" s="141"/>
      <c r="K63" s="142"/>
      <c r="S63" s="141"/>
    </row>
    <row r="64" spans="1:19" s="140" customFormat="1" x14ac:dyDescent="0.55000000000000004">
      <c r="I64" s="141"/>
      <c r="J64" s="141"/>
      <c r="K64" s="142"/>
      <c r="S64" s="141"/>
    </row>
    <row r="65" spans="3:19" s="140" customFormat="1" x14ac:dyDescent="0.55000000000000004">
      <c r="I65" s="141"/>
      <c r="J65" s="141"/>
      <c r="K65" s="142"/>
      <c r="S65" s="141"/>
    </row>
    <row r="66" spans="3:19" s="140" customFormat="1" x14ac:dyDescent="0.55000000000000004">
      <c r="I66" s="141"/>
      <c r="J66" s="141"/>
      <c r="K66" s="142"/>
      <c r="S66" s="141"/>
    </row>
    <row r="67" spans="3:19" s="140" customFormat="1" x14ac:dyDescent="0.55000000000000004">
      <c r="I67" s="141"/>
      <c r="J67" s="141"/>
      <c r="K67" s="142"/>
      <c r="S67" s="141"/>
    </row>
    <row r="68" spans="3:19" s="140" customFormat="1" x14ac:dyDescent="0.55000000000000004">
      <c r="I68" s="141"/>
      <c r="J68" s="141"/>
      <c r="K68" s="142"/>
      <c r="S68" s="141"/>
    </row>
    <row r="69" spans="3:19" s="140" customFormat="1" x14ac:dyDescent="0.55000000000000004">
      <c r="I69" s="141"/>
      <c r="J69" s="141"/>
      <c r="K69" s="142"/>
      <c r="S69" s="141"/>
    </row>
    <row r="70" spans="3:19" s="140" customFormat="1" x14ac:dyDescent="0.55000000000000004">
      <c r="I70" s="141"/>
      <c r="J70" s="141"/>
      <c r="K70" s="142"/>
      <c r="S70" s="141"/>
    </row>
    <row r="71" spans="3:19" s="140" customFormat="1" x14ac:dyDescent="0.55000000000000004">
      <c r="I71" s="141"/>
      <c r="J71" s="141"/>
      <c r="K71" s="142"/>
      <c r="S71" s="141"/>
    </row>
    <row r="72" spans="3:19" s="140" customFormat="1" x14ac:dyDescent="0.55000000000000004">
      <c r="I72" s="141"/>
      <c r="J72" s="141"/>
      <c r="K72" s="142"/>
      <c r="S72" s="141"/>
    </row>
    <row r="73" spans="3:19" s="140" customFormat="1" x14ac:dyDescent="0.55000000000000004">
      <c r="I73" s="141"/>
      <c r="J73" s="141"/>
      <c r="K73" s="142"/>
      <c r="S73" s="141"/>
    </row>
    <row r="74" spans="3:19" s="140" customFormat="1" x14ac:dyDescent="0.55000000000000004">
      <c r="I74" s="141"/>
      <c r="J74" s="141"/>
      <c r="K74" s="142"/>
      <c r="S74" s="141"/>
    </row>
    <row r="75" spans="3:19" s="140" customFormat="1" x14ac:dyDescent="0.55000000000000004">
      <c r="I75" s="141"/>
      <c r="J75" s="141"/>
      <c r="K75" s="142"/>
      <c r="S75" s="141"/>
    </row>
    <row r="76" spans="3:19" s="140" customFormat="1" x14ac:dyDescent="0.55000000000000004">
      <c r="I76" s="141"/>
      <c r="J76" s="141"/>
      <c r="K76" s="142"/>
      <c r="S76" s="141"/>
    </row>
    <row r="77" spans="3:19" s="140" customFormat="1" x14ac:dyDescent="0.55000000000000004">
      <c r="C77" s="141"/>
      <c r="D77" s="141"/>
      <c r="I77" s="141"/>
      <c r="J77" s="141"/>
      <c r="K77" s="142"/>
      <c r="S77" s="141"/>
    </row>
    <row r="78" spans="3:19" s="140" customFormat="1" x14ac:dyDescent="0.55000000000000004">
      <c r="C78" s="141"/>
      <c r="D78" s="141"/>
      <c r="I78" s="141"/>
      <c r="J78" s="141"/>
      <c r="K78" s="142"/>
      <c r="S78" s="141"/>
    </row>
    <row r="79" spans="3:19" s="140" customFormat="1" x14ac:dyDescent="0.55000000000000004">
      <c r="C79" s="141"/>
      <c r="D79" s="141"/>
      <c r="I79" s="141"/>
      <c r="J79" s="141"/>
      <c r="K79" s="142"/>
      <c r="S79" s="141"/>
    </row>
  </sheetData>
  <sheetProtection algorithmName="SHA-512" hashValue="ugexKIDoRzoEFTZ//EDZkZlpJhRUAoxb3Ay3KoHZFs52b5EkJRY++mPzqWXzMGdFz8bTs937D5r1D18BBJFtsw==" saltValue="1fNkTjb38r3PY6mREzP8oQ==" spinCount="100000" sheet="1" objects="1" scenarios="1" selectLockedCells="1"/>
  <mergeCells count="66">
    <mergeCell ref="A1:H1"/>
    <mergeCell ref="I1:J1"/>
    <mergeCell ref="I42:K51"/>
    <mergeCell ref="L8:M8"/>
    <mergeCell ref="H8:J8"/>
    <mergeCell ref="B9:G9"/>
    <mergeCell ref="A7:M7"/>
    <mergeCell ref="H9:K9"/>
    <mergeCell ref="A2:M2"/>
    <mergeCell ref="A4:M4"/>
    <mergeCell ref="L6:M6"/>
    <mergeCell ref="H6:J6"/>
    <mergeCell ref="A6:G6"/>
    <mergeCell ref="H10:K11"/>
    <mergeCell ref="M10:M11"/>
    <mergeCell ref="L10:L11"/>
    <mergeCell ref="A16:M16"/>
    <mergeCell ref="B14:G14"/>
    <mergeCell ref="H14:K14"/>
    <mergeCell ref="H15:K15"/>
    <mergeCell ref="B15:D15"/>
    <mergeCell ref="H13:J13"/>
    <mergeCell ref="L13:M13"/>
    <mergeCell ref="A12:M12"/>
    <mergeCell ref="A10:A11"/>
    <mergeCell ref="B10:G11"/>
    <mergeCell ref="L17:M17"/>
    <mergeCell ref="B18:G18"/>
    <mergeCell ref="I18:K18"/>
    <mergeCell ref="I17:J17"/>
    <mergeCell ref="A17:H17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A40:H40"/>
    <mergeCell ref="I40:J40"/>
    <mergeCell ref="L40:M40"/>
    <mergeCell ref="B41:G41"/>
    <mergeCell ref="I41:K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</mergeCells>
  <conditionalFormatting sqref="K6">
    <cfRule type="cellIs" dxfId="8" priority="5" operator="greaterThan">
      <formula>0</formula>
    </cfRule>
  </conditionalFormatting>
  <conditionalFormatting sqref="K8">
    <cfRule type="cellIs" dxfId="7" priority="4" operator="greaterThan">
      <formula>0</formula>
    </cfRule>
  </conditionalFormatting>
  <conditionalFormatting sqref="K13">
    <cfRule type="cellIs" dxfId="6" priority="3" operator="greaterThan">
      <formula>0</formula>
    </cfRule>
  </conditionalFormatting>
  <conditionalFormatting sqref="K17">
    <cfRule type="cellIs" dxfId="5" priority="2" operator="greaterThan">
      <formula>0</formula>
    </cfRule>
  </conditionalFormatting>
  <conditionalFormatting sqref="K40">
    <cfRule type="cellIs" dxfId="4" priority="1" operator="greaterThan">
      <formula>0</formula>
    </cfRule>
  </conditionalFormatting>
  <pageMargins left="0.39" right="0.28999999999999998" top="0.52" bottom="0.34" header="0.3" footer="0.3"/>
  <pageSetup scale="79" fitToHeight="0" orientation="portrait" r:id="rId1"/>
  <rowBreaks count="1" manualBreakCount="1">
    <brk id="3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DataSet!$E$24:$E$25</xm:f>
          </x14:formula1>
          <xm:sqref>L10 L42:L51 L19:L39 L15</xm:sqref>
        </x14:dataValidation>
        <x14:dataValidation type="list" allowBlank="1" showInputMessage="1" showErrorMessage="1">
          <x14:formula1>
            <xm:f>DataSet!$E$68:$E$74</xm:f>
          </x14:formula1>
          <xm:sqref>H19:H39</xm:sqref>
        </x14:dataValidation>
        <x14:dataValidation type="list" allowBlank="1" showInputMessage="1" showErrorMessage="1">
          <x14:formula1>
            <xm:f>DataSet!$E$63:$E$66</xm:f>
          </x14:formula1>
          <xm:sqref>B10</xm:sqref>
        </x14:dataValidation>
        <x14:dataValidation type="list" allowBlank="1" showInputMessage="1" showErrorMessage="1">
          <x14:formula1>
            <xm:f>DataSet!$E$76:$E$83</xm:f>
          </x14:formula1>
          <xm:sqref>H42:H51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68"/>
  <sheetViews>
    <sheetView zoomScaleNormal="100" workbookViewId="0">
      <selection activeCell="B8" sqref="B8:G8"/>
    </sheetView>
  </sheetViews>
  <sheetFormatPr defaultRowHeight="24" x14ac:dyDescent="0.55000000000000004"/>
  <cols>
    <col min="1" max="1" width="3.875" style="1" customWidth="1"/>
    <col min="2" max="2" width="12.75" style="1" customWidth="1"/>
    <col min="3" max="3" width="3.625" style="7" customWidth="1"/>
    <col min="4" max="4" width="3.25" style="7" customWidth="1"/>
    <col min="5" max="5" width="12.5" style="1" customWidth="1"/>
    <col min="6" max="6" width="5.625" style="1" customWidth="1"/>
    <col min="7" max="7" width="18" style="1" customWidth="1"/>
    <col min="8" max="8" width="22" style="1" customWidth="1"/>
    <col min="9" max="9" width="6.375" style="7" customWidth="1"/>
    <col min="10" max="10" width="3.75" style="7" customWidth="1"/>
    <col min="11" max="11" width="7.875" style="19" customWidth="1"/>
    <col min="12" max="12" width="9" style="1"/>
    <col min="13" max="13" width="7.875" style="1" customWidth="1"/>
    <col min="14" max="14" width="0" style="30" hidden="1" customWidth="1"/>
    <col min="15" max="17" width="0" style="31" hidden="1" customWidth="1"/>
    <col min="18" max="18" width="12.375" style="31" hidden="1" customWidth="1"/>
    <col min="19" max="19" width="0" style="62" hidden="1" customWidth="1"/>
    <col min="20" max="20" width="0" style="31" hidden="1" customWidth="1"/>
    <col min="21" max="16384" width="9" style="1"/>
  </cols>
  <sheetData>
    <row r="1" spans="1:20" ht="26.25" customHeight="1" x14ac:dyDescent="0.7">
      <c r="A1" s="286" t="s">
        <v>70</v>
      </c>
      <c r="B1" s="286"/>
      <c r="C1" s="286"/>
      <c r="D1" s="286"/>
      <c r="E1" s="286"/>
      <c r="F1" s="286"/>
      <c r="G1" s="286"/>
      <c r="H1" s="286"/>
      <c r="I1" s="418">
        <f>DataSet!F5</f>
        <v>0</v>
      </c>
      <c r="J1" s="418"/>
      <c r="L1" s="46"/>
      <c r="M1" s="46"/>
    </row>
    <row r="2" spans="1:20" ht="26.25" customHeight="1" x14ac:dyDescent="0.55000000000000004">
      <c r="A2" s="285" t="s">
        <v>55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20" ht="9.75" customHeight="1" thickBot="1" x14ac:dyDescent="0.6"/>
    <row r="4" spans="1:20" ht="31.5" thickBot="1" x14ac:dyDescent="0.75">
      <c r="A4" s="337" t="s">
        <v>351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9"/>
      <c r="O4" s="1"/>
      <c r="P4" s="1"/>
      <c r="Q4" s="1"/>
      <c r="R4" s="1"/>
    </row>
    <row r="5" spans="1:20" ht="12" customHeight="1" thickBot="1" x14ac:dyDescent="0.7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O5" s="1"/>
      <c r="P5" s="1"/>
      <c r="Q5" s="1"/>
      <c r="R5" s="1"/>
    </row>
    <row r="6" spans="1:20" s="29" customFormat="1" ht="30.75" x14ac:dyDescent="0.7">
      <c r="A6" s="424" t="s">
        <v>352</v>
      </c>
      <c r="B6" s="425"/>
      <c r="C6" s="425"/>
      <c r="D6" s="425"/>
      <c r="E6" s="425"/>
      <c r="F6" s="425"/>
      <c r="G6" s="425"/>
      <c r="H6" s="426" t="s">
        <v>77</v>
      </c>
      <c r="I6" s="426"/>
      <c r="J6" s="426"/>
      <c r="K6" s="138">
        <f>SUM(M8:M15)</f>
        <v>0</v>
      </c>
      <c r="L6" s="425" t="s">
        <v>63</v>
      </c>
      <c r="M6" s="427"/>
      <c r="N6" s="47"/>
      <c r="S6" s="113"/>
      <c r="T6" s="63"/>
    </row>
    <row r="7" spans="1:20" s="44" customFormat="1" ht="24.75" customHeight="1" x14ac:dyDescent="0.55000000000000004">
      <c r="A7" s="53" t="s">
        <v>153</v>
      </c>
      <c r="B7" s="348" t="s">
        <v>139</v>
      </c>
      <c r="C7" s="348"/>
      <c r="D7" s="348"/>
      <c r="E7" s="348"/>
      <c r="F7" s="348"/>
      <c r="G7" s="348"/>
      <c r="H7" s="8" t="s">
        <v>71</v>
      </c>
      <c r="I7" s="306" t="s">
        <v>151</v>
      </c>
      <c r="J7" s="423"/>
      <c r="K7" s="308"/>
      <c r="L7" s="5" t="s">
        <v>85</v>
      </c>
      <c r="M7" s="26" t="s">
        <v>68</v>
      </c>
      <c r="N7" s="48"/>
      <c r="S7" s="114"/>
      <c r="T7" s="66"/>
    </row>
    <row r="8" spans="1:20" ht="24" customHeight="1" x14ac:dyDescent="0.55000000000000004">
      <c r="A8" s="54">
        <v>1</v>
      </c>
      <c r="B8" s="414"/>
      <c r="C8" s="414"/>
      <c r="D8" s="414"/>
      <c r="E8" s="414"/>
      <c r="F8" s="414"/>
      <c r="G8" s="414"/>
      <c r="H8" s="20"/>
      <c r="I8" s="10" t="str">
        <f>IF(H8=0, " ", IF(H8=DataSet!E85, "จำนวน", " "))</f>
        <v xml:space="preserve"> </v>
      </c>
      <c r="J8" s="23"/>
      <c r="K8" s="24" t="str">
        <f>IF(H8=0," ",IF(H8=DataSet!E85,"ชั่วโมง"," "))</f>
        <v xml:space="preserve"> </v>
      </c>
      <c r="L8" s="162"/>
      <c r="M8" s="27" t="str">
        <f>IF(B8=0," ",IF(L8=DataSet!E25,0,IF(J8&gt;60,4,IF(H8=DataSet!E85,(J8/15),IF(H8=DataSet!E86,4,0)))))</f>
        <v xml:space="preserve"> </v>
      </c>
      <c r="O8" s="1"/>
      <c r="P8" s="1"/>
      <c r="Q8" s="1"/>
      <c r="R8" s="1"/>
      <c r="S8" s="114"/>
    </row>
    <row r="9" spans="1:20" x14ac:dyDescent="0.55000000000000004">
      <c r="A9" s="54">
        <v>2</v>
      </c>
      <c r="B9" s="414"/>
      <c r="C9" s="414"/>
      <c r="D9" s="414"/>
      <c r="E9" s="414"/>
      <c r="F9" s="414"/>
      <c r="G9" s="414"/>
      <c r="H9" s="20"/>
      <c r="I9" s="10" t="str">
        <f>IF(H9=0, " ", IF(H9=DataSet!E85, "จำนวน", " "))</f>
        <v xml:space="preserve"> </v>
      </c>
      <c r="J9" s="23"/>
      <c r="K9" s="24" t="str">
        <f>IF(H9=0," ",IF(H9=DataSet!E85,"ชั่วโมง"," "))</f>
        <v xml:space="preserve"> </v>
      </c>
      <c r="L9" s="162"/>
      <c r="M9" s="27" t="str">
        <f>IF(B9=0," ",IF(L9=DataSet!E25,0,IF(J9&gt;60,4,IF(H9=DataSet!E85,(J9/15),IF(H9=DataSet!E86,4,0)))))</f>
        <v xml:space="preserve"> </v>
      </c>
      <c r="O9" s="1"/>
      <c r="P9" s="1"/>
      <c r="Q9" s="1"/>
      <c r="R9" s="1"/>
      <c r="S9" s="114"/>
    </row>
    <row r="10" spans="1:20" x14ac:dyDescent="0.55000000000000004">
      <c r="A10" s="54">
        <v>3</v>
      </c>
      <c r="B10" s="414"/>
      <c r="C10" s="414"/>
      <c r="D10" s="414"/>
      <c r="E10" s="414"/>
      <c r="F10" s="414"/>
      <c r="G10" s="414"/>
      <c r="H10" s="20"/>
      <c r="I10" s="10" t="str">
        <f>IF(H10=0, " ", IF(H10=DataSet!E85, "จำนวน", " "))</f>
        <v xml:space="preserve"> </v>
      </c>
      <c r="J10" s="23"/>
      <c r="K10" s="24" t="str">
        <f>IF(H10=0," ",IF(H10=DataSet!E85,"ชั่วโมง"," "))</f>
        <v xml:space="preserve"> </v>
      </c>
      <c r="L10" s="162"/>
      <c r="M10" s="27" t="str">
        <f>IF(B10=0," ",IF(L10=DataSet!E25,0,IF(J10&gt;60,4,IF(H10=DataSet!E85,(J10/15),IF(H10=DataSet!E86,4,0)))))</f>
        <v xml:space="preserve"> </v>
      </c>
      <c r="O10" s="1"/>
      <c r="P10" s="1"/>
      <c r="Q10" s="1"/>
      <c r="R10" s="1"/>
    </row>
    <row r="11" spans="1:20" x14ac:dyDescent="0.55000000000000004">
      <c r="A11" s="54">
        <v>4</v>
      </c>
      <c r="B11" s="553"/>
      <c r="C11" s="554"/>
      <c r="D11" s="554"/>
      <c r="E11" s="554"/>
      <c r="F11" s="554"/>
      <c r="G11" s="555"/>
      <c r="H11" s="20"/>
      <c r="I11" s="10" t="str">
        <f>IF(H11=0, " ", IF(H11=DataSet!E85, "จำนวน", " "))</f>
        <v xml:space="preserve"> </v>
      </c>
      <c r="J11" s="23"/>
      <c r="K11" s="24" t="str">
        <f>IF(H11=0," ",IF(H11=DataSet!E85,"ชั่วโมง"," "))</f>
        <v xml:space="preserve"> </v>
      </c>
      <c r="L11" s="162"/>
      <c r="M11" s="27" t="str">
        <f>IF(B11=0," ",IF(L11=DataSet!E25,0,IF(J11&gt;60,4,IF(H11=DataSet!E85,(J11/15),IF(H11=DataSet!E86,4,0)))))</f>
        <v xml:space="preserve"> </v>
      </c>
      <c r="O11" s="1"/>
      <c r="P11" s="1"/>
      <c r="Q11" s="1"/>
      <c r="R11" s="1"/>
    </row>
    <row r="12" spans="1:20" x14ac:dyDescent="0.55000000000000004">
      <c r="A12" s="54">
        <v>5</v>
      </c>
      <c r="B12" s="553"/>
      <c r="C12" s="554"/>
      <c r="D12" s="554"/>
      <c r="E12" s="554"/>
      <c r="F12" s="554"/>
      <c r="G12" s="555"/>
      <c r="H12" s="20"/>
      <c r="I12" s="10" t="str">
        <f>IF(H12=0, " ", IF(H12=DataSet!E85, "จำนวน", " "))</f>
        <v xml:space="preserve"> </v>
      </c>
      <c r="J12" s="23"/>
      <c r="K12" s="24" t="str">
        <f>IF(H12=0," ",IF(H12=DataSet!E85,"ชั่วโมง"," "))</f>
        <v xml:space="preserve"> </v>
      </c>
      <c r="L12" s="162"/>
      <c r="M12" s="27" t="str">
        <f>IF(B12=0," ",IF(L12=DataSet!E25,0,IF(J12&gt;60,4,IF(H12=DataSet!E85,(J12/15),IF(H12=DataSet!E86,4,0)))))</f>
        <v xml:space="preserve"> </v>
      </c>
      <c r="O12" s="1"/>
      <c r="P12" s="1"/>
      <c r="Q12" s="1"/>
      <c r="R12" s="1"/>
    </row>
    <row r="13" spans="1:20" x14ac:dyDescent="0.55000000000000004">
      <c r="A13" s="54">
        <v>6</v>
      </c>
      <c r="B13" s="414"/>
      <c r="C13" s="414"/>
      <c r="D13" s="414"/>
      <c r="E13" s="414"/>
      <c r="F13" s="414"/>
      <c r="G13" s="414"/>
      <c r="H13" s="20"/>
      <c r="I13" s="10" t="str">
        <f>IF(H13=0, " ", IF(H13=DataSet!E85, "จำนวน", " "))</f>
        <v xml:space="preserve"> </v>
      </c>
      <c r="J13" s="23"/>
      <c r="K13" s="24" t="str">
        <f>IF(H13=0," ",IF(H13=DataSet!E85,"ชั่วโมง"," "))</f>
        <v xml:space="preserve"> </v>
      </c>
      <c r="L13" s="162"/>
      <c r="M13" s="27" t="str">
        <f>IF(B13=0," ",IF(L13=DataSet!E25,0,IF(J13&gt;60,4,IF(H13=DataSet!E85,(J13/15),IF(H13=DataSet!E86,4,0)))))</f>
        <v xml:space="preserve"> </v>
      </c>
      <c r="P13" s="62"/>
    </row>
    <row r="14" spans="1:20" x14ac:dyDescent="0.55000000000000004">
      <c r="A14" s="54">
        <v>7</v>
      </c>
      <c r="B14" s="414"/>
      <c r="C14" s="414"/>
      <c r="D14" s="414"/>
      <c r="E14" s="414"/>
      <c r="F14" s="414"/>
      <c r="G14" s="414"/>
      <c r="H14" s="20"/>
      <c r="I14" s="10" t="str">
        <f>IF(H14=0, " ", IF(H14=DataSet!E85, "จำนวน", " "))</f>
        <v xml:space="preserve"> </v>
      </c>
      <c r="J14" s="23"/>
      <c r="K14" s="24" t="str">
        <f>IF(H14=0," ",IF(H14=DataSet!E85,"ชั่วโมง"," "))</f>
        <v xml:space="preserve"> </v>
      </c>
      <c r="L14" s="162"/>
      <c r="M14" s="27" t="str">
        <f>IF(B14=0," ",IF(L14=DataSet!E25,0,IF(J14&gt;60,4,IF(H14=DataSet!E85,(J14/15),IF(H14=DataSet!E86,4,0)))))</f>
        <v xml:space="preserve"> </v>
      </c>
      <c r="P14" s="62"/>
    </row>
    <row r="15" spans="1:20" ht="24.75" thickBot="1" x14ac:dyDescent="0.6">
      <c r="A15" s="55">
        <v>8</v>
      </c>
      <c r="B15" s="417"/>
      <c r="C15" s="417"/>
      <c r="D15" s="417"/>
      <c r="E15" s="417"/>
      <c r="F15" s="417"/>
      <c r="G15" s="417"/>
      <c r="H15" s="22"/>
      <c r="I15" s="12" t="str">
        <f>IF(H15=0, " ", IF(H15=DataSet!E85, "จำนวน", " "))</f>
        <v xml:space="preserve"> </v>
      </c>
      <c r="J15" s="21"/>
      <c r="K15" s="25" t="str">
        <f>IF(H15=0," ",IF(H15=DataSet!E85,"ชั่วโมง"," "))</f>
        <v xml:space="preserve"> </v>
      </c>
      <c r="L15" s="163"/>
      <c r="M15" s="28" t="str">
        <f>IF(B15=0," ",IF(L15=DataSet!E25,0,IF(J15&gt;60,4,IF(H15=DataSet!E85,(J15/15),IF(H15=DataSet!E86,4,0)))))</f>
        <v xml:space="preserve"> </v>
      </c>
      <c r="P15" s="62"/>
    </row>
    <row r="16" spans="1:20" ht="7.5" customHeight="1" thickBot="1" x14ac:dyDescent="0.6"/>
    <row r="17" spans="1:19" ht="30.75" x14ac:dyDescent="0.7">
      <c r="A17" s="419" t="s">
        <v>212</v>
      </c>
      <c r="B17" s="420"/>
      <c r="C17" s="420"/>
      <c r="D17" s="420"/>
      <c r="E17" s="420"/>
      <c r="F17" s="420"/>
      <c r="G17" s="420"/>
      <c r="H17" s="421" t="s">
        <v>77</v>
      </c>
      <c r="I17" s="421"/>
      <c r="J17" s="421"/>
      <c r="K17" s="139">
        <f>SUM(M19:M26)</f>
        <v>0</v>
      </c>
      <c r="L17" s="420" t="s">
        <v>63</v>
      </c>
      <c r="M17" s="422"/>
    </row>
    <row r="18" spans="1:19" x14ac:dyDescent="0.55000000000000004">
      <c r="A18" s="53" t="s">
        <v>153</v>
      </c>
      <c r="B18" s="348" t="s">
        <v>139</v>
      </c>
      <c r="C18" s="348"/>
      <c r="D18" s="348"/>
      <c r="E18" s="348"/>
      <c r="F18" s="348"/>
      <c r="G18" s="348"/>
      <c r="H18" s="8" t="s">
        <v>71</v>
      </c>
      <c r="I18" s="306" t="s">
        <v>151</v>
      </c>
      <c r="J18" s="307"/>
      <c r="K18" s="308"/>
      <c r="L18" s="5" t="s">
        <v>85</v>
      </c>
      <c r="M18" s="26" t="s">
        <v>68</v>
      </c>
    </row>
    <row r="19" spans="1:19" ht="24" customHeight="1" x14ac:dyDescent="0.55000000000000004">
      <c r="A19" s="54">
        <v>1</v>
      </c>
      <c r="B19" s="415"/>
      <c r="C19" s="415"/>
      <c r="D19" s="415"/>
      <c r="E19" s="415"/>
      <c r="F19" s="415"/>
      <c r="G19" s="415"/>
      <c r="H19" s="20"/>
      <c r="I19" s="10" t="str">
        <f>IF(H19=0, " ", IF(H19=DataSet!E85, "จำนวน", " "))</f>
        <v xml:space="preserve"> </v>
      </c>
      <c r="J19" s="23"/>
      <c r="K19" s="6" t="str">
        <f>IF(H19=0," ",IF(H19=DataSet!E85,"ชั่วโมง"," "))</f>
        <v xml:space="preserve"> </v>
      </c>
      <c r="L19" s="162"/>
      <c r="M19" s="27" t="str">
        <f>IF(B19=0," ",IF(L19=DataSet!E25,0,IF(J19&gt;90,6,IF(H19=DataSet!E85,(J19/15),IF(H19=DataSet!E86,6,0)))))</f>
        <v xml:space="preserve"> </v>
      </c>
    </row>
    <row r="20" spans="1:19" x14ac:dyDescent="0.55000000000000004">
      <c r="A20" s="54">
        <v>2</v>
      </c>
      <c r="B20" s="415"/>
      <c r="C20" s="415"/>
      <c r="D20" s="415"/>
      <c r="E20" s="415"/>
      <c r="F20" s="415"/>
      <c r="G20" s="415"/>
      <c r="H20" s="20"/>
      <c r="I20" s="10" t="str">
        <f>IF(H20=0, " ", IF(H20=DataSet!E85, "จำนวน", " "))</f>
        <v xml:space="preserve"> </v>
      </c>
      <c r="J20" s="23"/>
      <c r="K20" s="6" t="str">
        <f>IF(H20=0," ",IF(H20=DataSet!E85,"ชั่วโมง"," "))</f>
        <v xml:space="preserve"> </v>
      </c>
      <c r="L20" s="162"/>
      <c r="M20" s="27" t="str">
        <f>IF(B20=0," ",IF(L20=DataSet!E25,0,IF(J20&gt;90,6,IF(H20=DataSet!E85,(J20/15),IF(H20=DataSet!E86,6,0)))))</f>
        <v xml:space="preserve"> </v>
      </c>
    </row>
    <row r="21" spans="1:19" x14ac:dyDescent="0.55000000000000004">
      <c r="A21" s="54">
        <v>3</v>
      </c>
      <c r="B21" s="415"/>
      <c r="C21" s="415"/>
      <c r="D21" s="415"/>
      <c r="E21" s="415"/>
      <c r="F21" s="415"/>
      <c r="G21" s="415"/>
      <c r="H21" s="20"/>
      <c r="I21" s="11" t="str">
        <f>IF(H21=0, " ", IF(H21=DataSet!E85, "จำนวน", " "))</f>
        <v xml:space="preserve"> </v>
      </c>
      <c r="J21" s="125"/>
      <c r="K21" s="9" t="str">
        <f>IF(H21=0," ",IF(H21=DataSet!E85,"ชั่วโมง"," "))</f>
        <v xml:space="preserve"> </v>
      </c>
      <c r="L21" s="162"/>
      <c r="M21" s="27" t="str">
        <f>IF(B21=0," ",IF(L21=DataSet!E25,0,IF(J21&gt;90,6,IF(H21=DataSet!E85,(J21/15),IF(H21=DataSet!E86,6,0)))))</f>
        <v xml:space="preserve"> </v>
      </c>
    </row>
    <row r="22" spans="1:19" x14ac:dyDescent="0.55000000000000004">
      <c r="A22" s="54">
        <v>4</v>
      </c>
      <c r="B22" s="415"/>
      <c r="C22" s="415"/>
      <c r="D22" s="415"/>
      <c r="E22" s="415"/>
      <c r="F22" s="415"/>
      <c r="G22" s="415"/>
      <c r="H22" s="20"/>
      <c r="I22" s="10" t="str">
        <f>IF(H22=0, " ", IF(H22=DataSet!E85, "จำนวน", " "))</f>
        <v xml:space="preserve"> </v>
      </c>
      <c r="J22" s="23"/>
      <c r="K22" s="6" t="str">
        <f>IF(H22=0," ",IF(H22=DataSet!E85,"ชั่วโมง"," "))</f>
        <v xml:space="preserve"> </v>
      </c>
      <c r="L22" s="162"/>
      <c r="M22" s="27" t="str">
        <f>IF(B22=0," ",IF(L22=DataSet!E25,0,IF(J22&gt;90,6,IF(H22=DataSet!E85,(J22/15),IF(H22=DataSet!E86,6,0)))))</f>
        <v xml:space="preserve"> </v>
      </c>
    </row>
    <row r="23" spans="1:19" x14ac:dyDescent="0.55000000000000004">
      <c r="A23" s="54">
        <v>5</v>
      </c>
      <c r="B23" s="415"/>
      <c r="C23" s="415"/>
      <c r="D23" s="415"/>
      <c r="E23" s="415"/>
      <c r="F23" s="415"/>
      <c r="G23" s="415"/>
      <c r="H23" s="20"/>
      <c r="I23" s="10" t="str">
        <f>IF(H23=0, " ", IF(H23=DataSet!E85, "จำนวน", " "))</f>
        <v xml:space="preserve"> </v>
      </c>
      <c r="J23" s="126"/>
      <c r="K23" s="6" t="str">
        <f>IF(H23=0," ",IF(H23=DataSet!E85,"ชั่วโมง"," "))</f>
        <v xml:space="preserve"> </v>
      </c>
      <c r="L23" s="162"/>
      <c r="M23" s="27" t="str">
        <f>IF(B23=0," ",IF(L23=DataSet!E25,0,IF(J23&gt;90,6,IF(H23=DataSet!E85,(J23/15),IF(H23=DataSet!E86,6,0)))))</f>
        <v xml:space="preserve"> </v>
      </c>
    </row>
    <row r="24" spans="1:19" x14ac:dyDescent="0.55000000000000004">
      <c r="A24" s="54">
        <v>6</v>
      </c>
      <c r="B24" s="415"/>
      <c r="C24" s="415"/>
      <c r="D24" s="415"/>
      <c r="E24" s="415"/>
      <c r="F24" s="415"/>
      <c r="G24" s="415"/>
      <c r="H24" s="20"/>
      <c r="I24" s="10" t="str">
        <f>IF(H24=0, " ", IF(H24=DataSet!E85, "จำนวน", " "))</f>
        <v xml:space="preserve"> </v>
      </c>
      <c r="J24" s="126"/>
      <c r="K24" s="6" t="str">
        <f>IF(H24=0," ",IF(H24=DataSet!E85,"ชั่วโมง"," "))</f>
        <v xml:space="preserve"> </v>
      </c>
      <c r="L24" s="162"/>
      <c r="M24" s="27" t="str">
        <f>IF(B24=0," ",IF(L24=DataSet!E25,0,IF(J24&gt;90,6,IF(H24=DataSet!E85,(J24/15),IF(H24=DataSet!E86,6,0)))))</f>
        <v xml:space="preserve"> </v>
      </c>
    </row>
    <row r="25" spans="1:19" x14ac:dyDescent="0.55000000000000004">
      <c r="A25" s="54">
        <v>7</v>
      </c>
      <c r="B25" s="415"/>
      <c r="C25" s="415"/>
      <c r="D25" s="415"/>
      <c r="E25" s="415"/>
      <c r="F25" s="415"/>
      <c r="G25" s="415"/>
      <c r="H25" s="20"/>
      <c r="I25" s="11" t="str">
        <f>IF(H25=0, " ", IF(H25=DataSet!E85, "จำนวน", " "))</f>
        <v xml:space="preserve"> </v>
      </c>
      <c r="J25" s="127"/>
      <c r="K25" s="9" t="str">
        <f>IF(H25=0," ",IF(H25=DataSet!E85,"ชั่วโมง"," "))</f>
        <v xml:space="preserve"> </v>
      </c>
      <c r="L25" s="162"/>
      <c r="M25" s="27" t="str">
        <f>IF(B25=0," ",IF(L25=DataSet!E25,0,IF(J25&gt;90,6,IF(H25=DataSet!E85,(J25/15),IF(H25=DataSet!E86,6,0)))))</f>
        <v xml:space="preserve"> </v>
      </c>
    </row>
    <row r="26" spans="1:19" ht="24.75" thickBot="1" x14ac:dyDescent="0.6">
      <c r="A26" s="55">
        <v>8</v>
      </c>
      <c r="B26" s="416"/>
      <c r="C26" s="416"/>
      <c r="D26" s="416"/>
      <c r="E26" s="416"/>
      <c r="F26" s="416"/>
      <c r="G26" s="416"/>
      <c r="H26" s="22"/>
      <c r="I26" s="12" t="str">
        <f>IF(H26=0, " ", IF(H26=DataSet!E85, "จำนวน", " "))</f>
        <v xml:space="preserve"> </v>
      </c>
      <c r="J26" s="75"/>
      <c r="K26" s="13" t="str">
        <f>IF(H26=0," ",IF(H26=DataSet!E85,"ชั่วโมง"," "))</f>
        <v xml:space="preserve"> </v>
      </c>
      <c r="L26" s="163"/>
      <c r="M26" s="28" t="str">
        <f>IF(B26=0," ",IF(L26=DataSet!E25,0,IF(J26&gt;90,6,IF(H26=DataSet!E85,(J26/15),IF(H26=DataSet!E86,6,0)))))</f>
        <v xml:space="preserve"> </v>
      </c>
    </row>
    <row r="28" spans="1:19" s="140" customFormat="1" x14ac:dyDescent="0.55000000000000004">
      <c r="C28" s="141"/>
      <c r="D28" s="141"/>
      <c r="I28" s="141"/>
      <c r="J28" s="141"/>
      <c r="K28" s="142"/>
      <c r="S28" s="141"/>
    </row>
    <row r="29" spans="1:19" s="140" customFormat="1" x14ac:dyDescent="0.55000000000000004">
      <c r="I29" s="141"/>
      <c r="J29" s="141"/>
      <c r="K29" s="142"/>
      <c r="S29" s="141"/>
    </row>
    <row r="30" spans="1:19" s="140" customFormat="1" ht="27.75" x14ac:dyDescent="0.65">
      <c r="B30" s="143"/>
      <c r="C30" s="143"/>
      <c r="E30" s="143"/>
      <c r="I30" s="141"/>
      <c r="J30" s="141"/>
      <c r="K30" s="142"/>
      <c r="S30" s="141"/>
    </row>
    <row r="31" spans="1:19" s="140" customFormat="1" x14ac:dyDescent="0.55000000000000004">
      <c r="I31" s="141"/>
      <c r="J31" s="141"/>
      <c r="K31" s="142"/>
      <c r="S31" s="141"/>
    </row>
    <row r="32" spans="1:19" s="140" customFormat="1" x14ac:dyDescent="0.55000000000000004">
      <c r="I32" s="141"/>
      <c r="J32" s="141"/>
      <c r="K32" s="142"/>
      <c r="S32" s="141"/>
    </row>
    <row r="33" spans="3:19" s="140" customFormat="1" x14ac:dyDescent="0.55000000000000004">
      <c r="I33" s="141"/>
      <c r="J33" s="141"/>
      <c r="K33" s="142"/>
      <c r="S33" s="141"/>
    </row>
    <row r="34" spans="3:19" s="140" customFormat="1" x14ac:dyDescent="0.55000000000000004">
      <c r="C34" s="141"/>
      <c r="D34" s="141"/>
      <c r="I34" s="141"/>
      <c r="J34" s="141"/>
      <c r="K34" s="142"/>
      <c r="S34" s="141"/>
    </row>
    <row r="35" spans="3:19" s="140" customFormat="1" x14ac:dyDescent="0.55000000000000004">
      <c r="C35" s="141"/>
      <c r="D35" s="141"/>
      <c r="I35" s="141"/>
      <c r="J35" s="141"/>
      <c r="K35" s="142"/>
      <c r="S35" s="141"/>
    </row>
    <row r="36" spans="3:19" s="140" customFormat="1" x14ac:dyDescent="0.55000000000000004">
      <c r="C36" s="141"/>
      <c r="D36" s="141"/>
      <c r="I36" s="141"/>
      <c r="J36" s="141"/>
      <c r="K36" s="142"/>
      <c r="S36" s="141"/>
    </row>
    <row r="37" spans="3:19" s="140" customFormat="1" x14ac:dyDescent="0.55000000000000004">
      <c r="C37" s="141"/>
      <c r="D37" s="141"/>
      <c r="I37" s="141"/>
      <c r="J37" s="141"/>
      <c r="K37" s="142"/>
      <c r="S37" s="141"/>
    </row>
    <row r="38" spans="3:19" s="140" customFormat="1" x14ac:dyDescent="0.55000000000000004">
      <c r="C38" s="141"/>
      <c r="D38" s="141"/>
      <c r="I38" s="141"/>
      <c r="J38" s="141"/>
      <c r="K38" s="142"/>
      <c r="S38" s="141"/>
    </row>
    <row r="39" spans="3:19" s="140" customFormat="1" x14ac:dyDescent="0.55000000000000004">
      <c r="C39" s="141"/>
      <c r="D39" s="141"/>
      <c r="I39" s="141"/>
      <c r="J39" s="141"/>
      <c r="K39" s="142"/>
      <c r="S39" s="141"/>
    </row>
    <row r="40" spans="3:19" s="140" customFormat="1" x14ac:dyDescent="0.55000000000000004">
      <c r="C40" s="141"/>
      <c r="D40" s="141"/>
      <c r="I40" s="141"/>
      <c r="J40" s="141"/>
      <c r="K40" s="142"/>
      <c r="S40" s="141"/>
    </row>
    <row r="41" spans="3:19" s="140" customFormat="1" x14ac:dyDescent="0.55000000000000004">
      <c r="C41" s="141"/>
      <c r="D41" s="141"/>
      <c r="I41" s="141"/>
      <c r="J41" s="141"/>
      <c r="K41" s="142"/>
      <c r="S41" s="141"/>
    </row>
    <row r="42" spans="3:19" s="140" customFormat="1" x14ac:dyDescent="0.55000000000000004">
      <c r="C42" s="141"/>
      <c r="D42" s="141"/>
      <c r="I42" s="141"/>
      <c r="J42" s="141"/>
      <c r="K42" s="142"/>
      <c r="S42" s="141"/>
    </row>
    <row r="43" spans="3:19" s="140" customFormat="1" x14ac:dyDescent="0.55000000000000004">
      <c r="C43" s="141"/>
      <c r="D43" s="141"/>
      <c r="I43" s="141"/>
      <c r="J43" s="141"/>
      <c r="K43" s="142"/>
      <c r="S43" s="141"/>
    </row>
    <row r="44" spans="3:19" s="140" customFormat="1" x14ac:dyDescent="0.55000000000000004">
      <c r="C44" s="141"/>
      <c r="D44" s="141"/>
      <c r="I44" s="141"/>
      <c r="J44" s="141"/>
      <c r="K44" s="142"/>
      <c r="S44" s="141"/>
    </row>
    <row r="45" spans="3:19" s="140" customFormat="1" x14ac:dyDescent="0.55000000000000004">
      <c r="C45" s="141"/>
      <c r="D45" s="141"/>
      <c r="I45" s="141"/>
      <c r="J45" s="141"/>
      <c r="K45" s="142"/>
      <c r="S45" s="141"/>
    </row>
    <row r="46" spans="3:19" s="140" customFormat="1" x14ac:dyDescent="0.55000000000000004">
      <c r="C46" s="141"/>
      <c r="D46" s="141"/>
      <c r="I46" s="141"/>
      <c r="J46" s="141"/>
      <c r="K46" s="142"/>
      <c r="S46" s="141"/>
    </row>
    <row r="47" spans="3:19" s="140" customFormat="1" x14ac:dyDescent="0.55000000000000004">
      <c r="C47" s="141"/>
      <c r="D47" s="141"/>
      <c r="I47" s="141"/>
      <c r="J47" s="141"/>
      <c r="K47" s="142"/>
      <c r="S47" s="141"/>
    </row>
    <row r="48" spans="3:19" s="140" customFormat="1" x14ac:dyDescent="0.55000000000000004">
      <c r="C48" s="141"/>
      <c r="D48" s="141"/>
      <c r="I48" s="141"/>
      <c r="J48" s="141"/>
      <c r="K48" s="142"/>
      <c r="S48" s="141"/>
    </row>
    <row r="49" spans="3:19" s="140" customFormat="1" x14ac:dyDescent="0.55000000000000004">
      <c r="C49" s="141"/>
      <c r="D49" s="141"/>
      <c r="I49" s="141"/>
      <c r="J49" s="141"/>
      <c r="K49" s="142"/>
      <c r="S49" s="141"/>
    </row>
    <row r="50" spans="3:19" s="140" customFormat="1" x14ac:dyDescent="0.55000000000000004">
      <c r="C50" s="141"/>
      <c r="D50" s="141"/>
      <c r="I50" s="141"/>
      <c r="J50" s="141"/>
      <c r="K50" s="142"/>
      <c r="S50" s="141"/>
    </row>
    <row r="51" spans="3:19" s="140" customFormat="1" x14ac:dyDescent="0.55000000000000004">
      <c r="C51" s="141"/>
      <c r="D51" s="141"/>
      <c r="I51" s="141"/>
      <c r="J51" s="141"/>
      <c r="K51" s="142"/>
      <c r="S51" s="141"/>
    </row>
    <row r="52" spans="3:19" s="140" customFormat="1" x14ac:dyDescent="0.55000000000000004">
      <c r="C52" s="141"/>
      <c r="D52" s="141"/>
      <c r="I52" s="141"/>
      <c r="J52" s="141"/>
      <c r="K52" s="142"/>
      <c r="S52" s="141"/>
    </row>
    <row r="53" spans="3:19" s="140" customFormat="1" x14ac:dyDescent="0.55000000000000004">
      <c r="C53" s="141"/>
      <c r="D53" s="141"/>
      <c r="I53" s="141"/>
      <c r="J53" s="141"/>
      <c r="K53" s="142"/>
      <c r="S53" s="141"/>
    </row>
    <row r="54" spans="3:19" s="140" customFormat="1" x14ac:dyDescent="0.55000000000000004">
      <c r="C54" s="141"/>
      <c r="D54" s="141"/>
      <c r="I54" s="141"/>
      <c r="J54" s="141"/>
      <c r="K54" s="142"/>
      <c r="S54" s="141"/>
    </row>
    <row r="55" spans="3:19" s="140" customFormat="1" x14ac:dyDescent="0.55000000000000004">
      <c r="C55" s="141"/>
      <c r="D55" s="141"/>
      <c r="I55" s="141"/>
      <c r="J55" s="141"/>
      <c r="K55" s="142"/>
      <c r="S55" s="141"/>
    </row>
    <row r="56" spans="3:19" s="140" customFormat="1" x14ac:dyDescent="0.55000000000000004">
      <c r="C56" s="141"/>
      <c r="D56" s="141"/>
      <c r="I56" s="141"/>
      <c r="J56" s="141"/>
      <c r="K56" s="142"/>
      <c r="S56" s="141"/>
    </row>
    <row r="57" spans="3:19" s="140" customFormat="1" x14ac:dyDescent="0.55000000000000004">
      <c r="C57" s="141"/>
      <c r="D57" s="141"/>
      <c r="I57" s="141"/>
      <c r="J57" s="141"/>
      <c r="K57" s="142"/>
      <c r="S57" s="141"/>
    </row>
    <row r="58" spans="3:19" s="140" customFormat="1" x14ac:dyDescent="0.55000000000000004">
      <c r="C58" s="141"/>
      <c r="D58" s="141"/>
      <c r="I58" s="141"/>
      <c r="J58" s="141"/>
      <c r="K58" s="142"/>
      <c r="S58" s="141"/>
    </row>
    <row r="59" spans="3:19" s="140" customFormat="1" x14ac:dyDescent="0.55000000000000004">
      <c r="C59" s="141"/>
      <c r="D59" s="141"/>
      <c r="I59" s="141"/>
      <c r="J59" s="141"/>
      <c r="K59" s="142"/>
      <c r="S59" s="141"/>
    </row>
    <row r="60" spans="3:19" s="140" customFormat="1" x14ac:dyDescent="0.55000000000000004">
      <c r="C60" s="141"/>
      <c r="D60" s="141"/>
      <c r="I60" s="141"/>
      <c r="J60" s="141"/>
      <c r="K60" s="142"/>
      <c r="S60" s="141"/>
    </row>
    <row r="61" spans="3:19" s="140" customFormat="1" x14ac:dyDescent="0.55000000000000004">
      <c r="C61" s="141"/>
      <c r="D61" s="141"/>
      <c r="I61" s="141"/>
      <c r="J61" s="141"/>
      <c r="K61" s="142"/>
      <c r="S61" s="141"/>
    </row>
    <row r="62" spans="3:19" s="140" customFormat="1" x14ac:dyDescent="0.55000000000000004">
      <c r="C62" s="141"/>
      <c r="D62" s="141"/>
      <c r="I62" s="141"/>
      <c r="J62" s="141"/>
      <c r="K62" s="142"/>
      <c r="S62" s="141"/>
    </row>
    <row r="63" spans="3:19" s="140" customFormat="1" x14ac:dyDescent="0.55000000000000004">
      <c r="C63" s="141"/>
      <c r="D63" s="141"/>
      <c r="I63" s="141"/>
      <c r="J63" s="141"/>
      <c r="K63" s="142"/>
      <c r="S63" s="141"/>
    </row>
    <row r="64" spans="3:19" s="140" customFormat="1" x14ac:dyDescent="0.55000000000000004">
      <c r="C64" s="141"/>
      <c r="D64" s="141"/>
      <c r="I64" s="141"/>
      <c r="J64" s="141"/>
      <c r="K64" s="142"/>
      <c r="S64" s="141"/>
    </row>
    <row r="65" spans="3:19" s="140" customFormat="1" x14ac:dyDescent="0.55000000000000004">
      <c r="C65" s="141"/>
      <c r="D65" s="141"/>
      <c r="I65" s="141"/>
      <c r="J65" s="141"/>
      <c r="K65" s="142"/>
      <c r="S65" s="141"/>
    </row>
    <row r="66" spans="3:19" s="140" customFormat="1" x14ac:dyDescent="0.55000000000000004">
      <c r="C66" s="141"/>
      <c r="D66" s="141"/>
      <c r="I66" s="141"/>
      <c r="J66" s="141"/>
      <c r="K66" s="142"/>
      <c r="S66" s="141"/>
    </row>
    <row r="67" spans="3:19" s="140" customFormat="1" x14ac:dyDescent="0.55000000000000004">
      <c r="C67" s="141"/>
      <c r="D67" s="141"/>
      <c r="I67" s="141"/>
      <c r="J67" s="141"/>
      <c r="K67" s="142"/>
      <c r="S67" s="141"/>
    </row>
    <row r="68" spans="3:19" s="140" customFormat="1" x14ac:dyDescent="0.55000000000000004">
      <c r="C68" s="141"/>
      <c r="D68" s="141"/>
      <c r="I68" s="141"/>
      <c r="J68" s="141"/>
      <c r="K68" s="142"/>
      <c r="S68" s="141"/>
    </row>
  </sheetData>
  <sheetProtection algorithmName="SHA-512" hashValue="zSVvsKF9zrdcY8oUmlV09VeHRYfXIWrWSaSFh3PpcJRGF6p67SF5kf5Lfo9VA07htvn6N8p+BNBSFs7n5FZS2Q==" saltValue="E4ScQUVwsXFoT3oP0qmJnw==" spinCount="100000" sheet="1" objects="1" scenarios="1" selectLockedCells="1"/>
  <mergeCells count="30">
    <mergeCell ref="I18:K18"/>
    <mergeCell ref="B20:G20"/>
    <mergeCell ref="B21:G21"/>
    <mergeCell ref="B22:G22"/>
    <mergeCell ref="B23:G23"/>
    <mergeCell ref="A1:H1"/>
    <mergeCell ref="I1:J1"/>
    <mergeCell ref="A17:G17"/>
    <mergeCell ref="H17:J17"/>
    <mergeCell ref="L17:M17"/>
    <mergeCell ref="I7:K7"/>
    <mergeCell ref="A2:M2"/>
    <mergeCell ref="A4:M4"/>
    <mergeCell ref="A6:G6"/>
    <mergeCell ref="H6:J6"/>
    <mergeCell ref="L6:M6"/>
    <mergeCell ref="B7:G7"/>
    <mergeCell ref="B8:G8"/>
    <mergeCell ref="B9:G9"/>
    <mergeCell ref="B10:G10"/>
    <mergeCell ref="B11:G11"/>
    <mergeCell ref="B12:G12"/>
    <mergeCell ref="B25:G25"/>
    <mergeCell ref="B26:G26"/>
    <mergeCell ref="B13:G13"/>
    <mergeCell ref="B14:G14"/>
    <mergeCell ref="B15:G15"/>
    <mergeCell ref="B18:G18"/>
    <mergeCell ref="B19:G19"/>
    <mergeCell ref="B24:G24"/>
  </mergeCells>
  <conditionalFormatting sqref="K6">
    <cfRule type="cellIs" dxfId="3" priority="2" operator="greaterThan">
      <formula>0</formula>
    </cfRule>
  </conditionalFormatting>
  <conditionalFormatting sqref="K17">
    <cfRule type="cellIs" dxfId="2" priority="1" operator="greaterThan">
      <formula>0</formula>
    </cfRule>
  </conditionalFormatting>
  <pageMargins left="0.39" right="0.28999999999999998" top="0.52" bottom="0.34" header="0.3" footer="0.3"/>
  <pageSetup scale="8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DataSet!$E$24:$E$25</xm:f>
          </x14:formula1>
          <xm:sqref>L8:L15 L19:L26</xm:sqref>
        </x14:dataValidation>
        <x14:dataValidation type="list" allowBlank="1" showInputMessage="1" showErrorMessage="1">
          <x14:formula1>
            <xm:f>DataSet!$E$85:$E$86</xm:f>
          </x14:formula1>
          <xm:sqref>H19:H26 H8:H15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D99"/>
  <sheetViews>
    <sheetView zoomScaleNormal="100" workbookViewId="0">
      <selection activeCell="H10" sqref="H10"/>
    </sheetView>
  </sheetViews>
  <sheetFormatPr defaultRowHeight="24" x14ac:dyDescent="0.55000000000000004"/>
  <cols>
    <col min="1" max="1" width="3.875" style="1" customWidth="1"/>
    <col min="2" max="2" width="3.125" style="1" customWidth="1"/>
    <col min="3" max="3" width="3.625" style="166" customWidth="1"/>
    <col min="4" max="4" width="3.25" style="166" customWidth="1"/>
    <col min="5" max="5" width="12.5" style="1" customWidth="1"/>
    <col min="6" max="6" width="13.625" style="1" customWidth="1"/>
    <col min="7" max="7" width="22" style="1" customWidth="1"/>
    <col min="8" max="8" width="7.625" style="1" customWidth="1"/>
    <col min="9" max="10" width="7.625" style="166" customWidth="1"/>
    <col min="11" max="11" width="7" style="208" bestFit="1" customWidth="1"/>
    <col min="12" max="12" width="5" style="164" customWidth="1"/>
    <col min="13" max="13" width="5" style="1" customWidth="1"/>
    <col min="14" max="14" width="6.5" style="30" customWidth="1"/>
    <col min="15" max="15" width="7" style="140" bestFit="1" customWidth="1"/>
    <col min="16" max="17" width="7.125" style="67" hidden="1" customWidth="1"/>
    <col min="18" max="18" width="6.75" style="68" hidden="1" customWidth="1"/>
    <col min="19" max="20" width="5.75" style="68" hidden="1" customWidth="1"/>
    <col min="21" max="21" width="5.75" style="67" hidden="1" customWidth="1"/>
    <col min="22" max="23" width="9" style="67" hidden="1" customWidth="1"/>
    <col min="24" max="26" width="9" style="140" hidden="1" customWidth="1"/>
    <col min="27" max="27" width="9" style="1" hidden="1" customWidth="1"/>
    <col min="28" max="28" width="3.75" style="1" hidden="1" customWidth="1"/>
    <col min="29" max="29" width="0" style="1" hidden="1" customWidth="1"/>
    <col min="30" max="16384" width="9" style="1"/>
  </cols>
  <sheetData>
    <row r="1" spans="1:29" ht="26.25" customHeight="1" x14ac:dyDescent="0.7">
      <c r="A1" s="286" t="s">
        <v>70</v>
      </c>
      <c r="B1" s="286"/>
      <c r="C1" s="286"/>
      <c r="D1" s="286"/>
      <c r="E1" s="286"/>
      <c r="F1" s="286"/>
      <c r="G1" s="286"/>
      <c r="H1" s="286"/>
      <c r="I1" s="286"/>
      <c r="J1" s="46">
        <f>DataSet!F5</f>
        <v>0</v>
      </c>
      <c r="K1" s="46"/>
      <c r="L1" s="46"/>
      <c r="M1" s="46"/>
    </row>
    <row r="2" spans="1:29" ht="26.25" customHeight="1" x14ac:dyDescent="0.55000000000000004">
      <c r="A2" s="285" t="s">
        <v>55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54"/>
      <c r="Q2" s="254"/>
    </row>
    <row r="3" spans="1:29" ht="9.75" customHeight="1" thickBot="1" x14ac:dyDescent="0.6"/>
    <row r="4" spans="1:29" ht="31.5" thickBot="1" x14ac:dyDescent="0.75">
      <c r="A4" s="497" t="s">
        <v>290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9"/>
      <c r="P4" s="255"/>
      <c r="Q4" s="255"/>
    </row>
    <row r="5" spans="1:29" ht="12" customHeight="1" thickBot="1" x14ac:dyDescent="0.7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9" s="29" customFormat="1" ht="31.5" thickBot="1" x14ac:dyDescent="0.75">
      <c r="A6" s="215" t="s">
        <v>38</v>
      </c>
      <c r="B6" s="216"/>
      <c r="C6" s="216"/>
      <c r="D6" s="216"/>
      <c r="E6" s="216"/>
      <c r="F6" s="216"/>
      <c r="G6" s="211" t="s">
        <v>350</v>
      </c>
      <c r="H6" s="495" t="s">
        <v>291</v>
      </c>
      <c r="I6" s="496"/>
      <c r="J6" s="222">
        <f>SUM(J7,J19,J26,J34,J39,J44,J51,J59,J65)</f>
        <v>0</v>
      </c>
      <c r="K6" s="218" t="s">
        <v>20</v>
      </c>
      <c r="L6" s="500" t="s">
        <v>348</v>
      </c>
      <c r="M6" s="500"/>
      <c r="N6" s="223">
        <f>SUM(N7,N19,N26,N34,N39,N44,N51,N59,N65)</f>
        <v>0</v>
      </c>
      <c r="O6" s="224" t="s">
        <v>20</v>
      </c>
      <c r="P6" s="256"/>
      <c r="Q6" s="256"/>
      <c r="R6" s="257"/>
      <c r="S6" s="257"/>
      <c r="T6" s="257"/>
      <c r="U6" s="185"/>
      <c r="V6" s="185"/>
      <c r="W6" s="185"/>
      <c r="X6" s="143"/>
      <c r="Y6" s="143"/>
      <c r="Z6" s="143"/>
    </row>
    <row r="7" spans="1:29" ht="24" customHeight="1" thickBot="1" x14ac:dyDescent="0.6">
      <c r="A7" s="471" t="s">
        <v>292</v>
      </c>
      <c r="B7" s="362"/>
      <c r="C7" s="362"/>
      <c r="D7" s="362"/>
      <c r="E7" s="362"/>
      <c r="F7" s="362"/>
      <c r="G7" s="362"/>
      <c r="H7" s="451" t="s">
        <v>291</v>
      </c>
      <c r="I7" s="452"/>
      <c r="J7" s="219">
        <f>(SUM(K10:K18)*4)/9</f>
        <v>0</v>
      </c>
      <c r="K7" s="217" t="s">
        <v>20</v>
      </c>
      <c r="L7" s="446" t="s">
        <v>348</v>
      </c>
      <c r="M7" s="447"/>
      <c r="N7" s="225">
        <f>(SUM(O10:O18)*4)/9</f>
        <v>0</v>
      </c>
      <c r="O7" s="226" t="s">
        <v>20</v>
      </c>
      <c r="P7" s="258"/>
      <c r="Q7" s="258"/>
      <c r="T7" s="186"/>
    </row>
    <row r="8" spans="1:29" s="165" customFormat="1" ht="24.75" customHeight="1" x14ac:dyDescent="0.55000000000000004">
      <c r="A8" s="438" t="s">
        <v>153</v>
      </c>
      <c r="B8" s="462" t="s">
        <v>353</v>
      </c>
      <c r="C8" s="462"/>
      <c r="D8" s="462"/>
      <c r="E8" s="462"/>
      <c r="F8" s="462"/>
      <c r="G8" s="462"/>
      <c r="H8" s="465" t="s">
        <v>291</v>
      </c>
      <c r="I8" s="345"/>
      <c r="J8" s="345"/>
      <c r="K8" s="448" t="s">
        <v>20</v>
      </c>
      <c r="L8" s="490" t="s">
        <v>349</v>
      </c>
      <c r="M8" s="491"/>
      <c r="N8" s="491"/>
      <c r="O8" s="466" t="s">
        <v>20</v>
      </c>
      <c r="P8" s="259"/>
      <c r="Q8" s="259"/>
      <c r="R8" s="187"/>
      <c r="S8" s="187"/>
      <c r="T8" s="186"/>
      <c r="U8" s="187"/>
      <c r="V8" s="187"/>
      <c r="W8" s="187"/>
      <c r="X8" s="144"/>
      <c r="Y8" s="144"/>
      <c r="Z8" s="144"/>
    </row>
    <row r="9" spans="1:29" s="173" customFormat="1" x14ac:dyDescent="0.55000000000000004">
      <c r="A9" s="478"/>
      <c r="B9" s="477"/>
      <c r="C9" s="477"/>
      <c r="D9" s="477"/>
      <c r="E9" s="477"/>
      <c r="F9" s="477"/>
      <c r="G9" s="477"/>
      <c r="H9" s="174" t="s">
        <v>358</v>
      </c>
      <c r="I9" s="210" t="s">
        <v>356</v>
      </c>
      <c r="J9" s="209" t="s">
        <v>357</v>
      </c>
      <c r="K9" s="449"/>
      <c r="L9" s="492"/>
      <c r="M9" s="493"/>
      <c r="N9" s="493"/>
      <c r="O9" s="475"/>
      <c r="P9" s="187"/>
      <c r="Q9" s="259" t="s">
        <v>341</v>
      </c>
      <c r="R9" s="259" t="s">
        <v>294</v>
      </c>
      <c r="S9" s="187" t="s">
        <v>340</v>
      </c>
      <c r="T9" s="187" t="s">
        <v>342</v>
      </c>
      <c r="U9" s="260" t="s">
        <v>343</v>
      </c>
      <c r="V9" s="187" t="s">
        <v>344</v>
      </c>
      <c r="W9" s="187"/>
      <c r="X9" s="144"/>
      <c r="Y9" s="144"/>
      <c r="Z9" s="144"/>
      <c r="AC9" s="241"/>
    </row>
    <row r="10" spans="1:29" x14ac:dyDescent="0.55000000000000004">
      <c r="A10" s="54">
        <v>1</v>
      </c>
      <c r="B10" s="501" t="s">
        <v>302</v>
      </c>
      <c r="C10" s="501"/>
      <c r="D10" s="501"/>
      <c r="E10" s="501"/>
      <c r="F10" s="501"/>
      <c r="G10" s="502"/>
      <c r="H10" s="183"/>
      <c r="I10" s="96"/>
      <c r="J10" s="213"/>
      <c r="K10" s="227">
        <f>IF(H10=1,1,IF(I10=1,0.5,IF(J10=1,0,0)))</f>
        <v>0</v>
      </c>
      <c r="L10" s="494"/>
      <c r="M10" s="431"/>
      <c r="N10" s="431"/>
      <c r="O10" s="229">
        <f>IF(H10=1,'5-พฤติกรรมการปฏิบัติงาน'!T10,IF(I10=1,'5-พฤติกรรมการปฏิบัติงาน'!U10,IF(J10=1,'5-พฤติกรรมการปฏิบัติงาน'!V10,0)))</f>
        <v>0</v>
      </c>
      <c r="P10" s="261"/>
      <c r="Q10" s="261">
        <v>1</v>
      </c>
      <c r="R10" s="261">
        <v>0.5</v>
      </c>
      <c r="S10" s="68">
        <v>0</v>
      </c>
      <c r="T10" s="262">
        <f>IF('5-พฤติกรรมการปฏิบัติงาน'!L10=DataSet!E88,Q10,IF('5-พฤติกรรมการปฏิบัติงาน'!L10=DataSet!E89,Q10,IF('5-พฤติกรรมการปฏิบัติงาน'!L10=DataSet!E90,R10,0)))</f>
        <v>0</v>
      </c>
      <c r="U10" s="262">
        <f>IF('5-พฤติกรรมการปฏิบัติงาน'!L10=DataSet!E88,R10,IF('5-พฤติกรรมการปฏิบัติงาน'!L10=DataSet!E89,Q10,IF('5-พฤติกรรมการปฏิบัติงาน'!L10=DataSet!E90,S10,0)))</f>
        <v>0</v>
      </c>
      <c r="V10" s="262">
        <f>IF('5-พฤติกรรมการปฏิบัติงาน'!L10=DataSet!E88,S10,IF('5-พฤติกรรมการปฏิบัติงาน'!L10=DataSet!E89,R10,IF('5-พฤติกรรมการปฏิบัติงาน'!L10=DataSet!E90,S10,0)))</f>
        <v>0</v>
      </c>
      <c r="AC10" s="140"/>
    </row>
    <row r="11" spans="1:29" x14ac:dyDescent="0.55000000000000004">
      <c r="A11" s="54">
        <v>2</v>
      </c>
      <c r="B11" s="501" t="s">
        <v>303</v>
      </c>
      <c r="C11" s="501"/>
      <c r="D11" s="501"/>
      <c r="E11" s="501"/>
      <c r="F11" s="501"/>
      <c r="G11" s="502"/>
      <c r="H11" s="183"/>
      <c r="I11" s="96"/>
      <c r="J11" s="213"/>
      <c r="K11" s="227">
        <f t="shared" ref="K11:K18" si="0">IF(H11=1,1,IF(I11=1,0.5,IF(J11=1,0,0)))</f>
        <v>0</v>
      </c>
      <c r="L11" s="494"/>
      <c r="M11" s="431"/>
      <c r="N11" s="431"/>
      <c r="O11" s="229">
        <f>IF(H11=1,'5-พฤติกรรมการปฏิบัติงาน'!T11,IF(I11=1,'5-พฤติกรรมการปฏิบัติงาน'!U11,IF(J11=1,'5-พฤติกรรมการปฏิบัติงาน'!V11,0)))</f>
        <v>0</v>
      </c>
      <c r="Q11" s="261">
        <v>1</v>
      </c>
      <c r="R11" s="261">
        <v>0.5</v>
      </c>
      <c r="S11" s="68">
        <v>0</v>
      </c>
      <c r="T11" s="262">
        <f>IF('5-พฤติกรรมการปฏิบัติงาน'!L11=DataSet!E88,Q11,IF('5-พฤติกรรมการปฏิบัติงาน'!L11=DataSet!E89,Q11,IF('5-พฤติกรรมการปฏิบัติงาน'!L11=DataSet!E90,R11,0)))</f>
        <v>0</v>
      </c>
      <c r="U11" s="262">
        <f>IF('5-พฤติกรรมการปฏิบัติงาน'!L11=DataSet!E88,R11,IF('5-พฤติกรรมการปฏิบัติงาน'!L11=DataSet!E89,Q11,IF('5-พฤติกรรมการปฏิบัติงาน'!L11=DataSet!E90,S11,0)))</f>
        <v>0</v>
      </c>
      <c r="V11" s="262">
        <f>IF('5-พฤติกรรมการปฏิบัติงาน'!L11=DataSet!E88,S11,IF('5-พฤติกรรมการปฏิบัติงาน'!L11=DataSet!E89,R11,IF('5-พฤติกรรมการปฏิบัติงาน'!L11=DataSet!E90,S11,0)))</f>
        <v>0</v>
      </c>
      <c r="AC11" s="140"/>
    </row>
    <row r="12" spans="1:29" x14ac:dyDescent="0.55000000000000004">
      <c r="A12" s="54">
        <v>3</v>
      </c>
      <c r="B12" s="501" t="s">
        <v>304</v>
      </c>
      <c r="C12" s="501"/>
      <c r="D12" s="501"/>
      <c r="E12" s="501"/>
      <c r="F12" s="501"/>
      <c r="G12" s="502"/>
      <c r="H12" s="183"/>
      <c r="I12" s="96"/>
      <c r="J12" s="213"/>
      <c r="K12" s="227">
        <f t="shared" si="0"/>
        <v>0</v>
      </c>
      <c r="L12" s="494"/>
      <c r="M12" s="431"/>
      <c r="N12" s="431"/>
      <c r="O12" s="229">
        <f>IF(H12=1,'5-พฤติกรรมการปฏิบัติงาน'!T12,IF(I12=1,'5-พฤติกรรมการปฏิบัติงาน'!U12,IF(J12=1,'5-พฤติกรรมการปฏิบัติงาน'!V12,0)))</f>
        <v>0</v>
      </c>
      <c r="Q12" s="261">
        <v>1</v>
      </c>
      <c r="R12" s="261">
        <v>0.5</v>
      </c>
      <c r="S12" s="68">
        <v>0</v>
      </c>
      <c r="T12" s="262">
        <f>IF('5-พฤติกรรมการปฏิบัติงาน'!L12=DataSet!E88,Q12,IF('5-พฤติกรรมการปฏิบัติงาน'!L12=DataSet!E89,Q12,IF('5-พฤติกรรมการปฏิบัติงาน'!L12=DataSet!E90,R12,0)))</f>
        <v>0</v>
      </c>
      <c r="U12" s="262">
        <f>IF('5-พฤติกรรมการปฏิบัติงาน'!L12=DataSet!E88,R12,IF('5-พฤติกรรมการปฏิบัติงาน'!L12=DataSet!E89,Q12,IF('5-พฤติกรรมการปฏิบัติงาน'!L12=DataSet!E90,S12,0)))</f>
        <v>0</v>
      </c>
      <c r="V12" s="262">
        <f>IF('5-พฤติกรรมการปฏิบัติงาน'!L12=DataSet!E88,S12,IF('5-พฤติกรรมการปฏิบัติงาน'!L12=DataSet!E89,R12,IF('5-พฤติกรรมการปฏิบัติงาน'!L12=DataSet!E90,S12,0)))</f>
        <v>0</v>
      </c>
    </row>
    <row r="13" spans="1:29" s="140" customFormat="1" x14ac:dyDescent="0.55000000000000004">
      <c r="A13" s="54">
        <v>4</v>
      </c>
      <c r="B13" s="485" t="s">
        <v>305</v>
      </c>
      <c r="C13" s="485"/>
      <c r="D13" s="485"/>
      <c r="E13" s="485"/>
      <c r="F13" s="485"/>
      <c r="G13" s="486"/>
      <c r="H13" s="183"/>
      <c r="I13" s="96"/>
      <c r="J13" s="213"/>
      <c r="K13" s="227">
        <f t="shared" si="0"/>
        <v>0</v>
      </c>
      <c r="L13" s="494"/>
      <c r="M13" s="431"/>
      <c r="N13" s="431"/>
      <c r="O13" s="229">
        <f>IF(H13=1,'5-พฤติกรรมการปฏิบัติงาน'!T13,IF(I13=1,'5-พฤติกรรมการปฏิบัติงาน'!U13,IF(J13=1,'5-พฤติกรรมการปฏิบัติงาน'!V13,0)))</f>
        <v>0</v>
      </c>
      <c r="P13" s="67"/>
      <c r="Q13" s="261">
        <v>1</v>
      </c>
      <c r="R13" s="261">
        <v>0.5</v>
      </c>
      <c r="S13" s="68">
        <v>0</v>
      </c>
      <c r="T13" s="262">
        <f>IF('5-พฤติกรรมการปฏิบัติงาน'!L13=DataSet!E88,Q13,IF('5-พฤติกรรมการปฏิบัติงาน'!L13=DataSet!E89,Q13,IF('5-พฤติกรรมการปฏิบัติงาน'!L13=DataSet!E90,R13,0)))</f>
        <v>0</v>
      </c>
      <c r="U13" s="262">
        <f>IF('5-พฤติกรรมการปฏิบัติงาน'!L13=DataSet!E88,R13,IF('5-พฤติกรรมการปฏิบัติงาน'!L13=DataSet!E89,Q13,IF('5-พฤติกรรมการปฏิบัติงาน'!L13=DataSet!E90,S13,0)))</f>
        <v>0</v>
      </c>
      <c r="V13" s="262">
        <f>IF('5-พฤติกรรมการปฏิบัติงาน'!L13=DataSet!E88,S13,IF('5-พฤติกรรมการปฏิบัติงาน'!L13=DataSet!E89,R13,IF('5-พฤติกรรมการปฏิบัติงาน'!L13=DataSet!E90,S13,0)))</f>
        <v>0</v>
      </c>
      <c r="W13" s="68"/>
    </row>
    <row r="14" spans="1:29" s="140" customFormat="1" x14ac:dyDescent="0.55000000000000004">
      <c r="A14" s="54">
        <v>5</v>
      </c>
      <c r="B14" s="485" t="s">
        <v>306</v>
      </c>
      <c r="C14" s="485"/>
      <c r="D14" s="485"/>
      <c r="E14" s="485"/>
      <c r="F14" s="485"/>
      <c r="G14" s="486"/>
      <c r="H14" s="183"/>
      <c r="I14" s="96"/>
      <c r="J14" s="213"/>
      <c r="K14" s="227">
        <f t="shared" si="0"/>
        <v>0</v>
      </c>
      <c r="L14" s="494"/>
      <c r="M14" s="431"/>
      <c r="N14" s="431"/>
      <c r="O14" s="229">
        <f>IF(H14=1,'5-พฤติกรรมการปฏิบัติงาน'!T14,IF(I14=1,'5-พฤติกรรมการปฏิบัติงาน'!U14,IF(J14=1,'5-พฤติกรรมการปฏิบัติงาน'!V14,0)))</f>
        <v>0</v>
      </c>
      <c r="P14" s="67"/>
      <c r="Q14" s="261">
        <v>1</v>
      </c>
      <c r="R14" s="261">
        <v>0.5</v>
      </c>
      <c r="S14" s="68">
        <v>0</v>
      </c>
      <c r="T14" s="262">
        <f>IF('5-พฤติกรรมการปฏิบัติงาน'!L14=DataSet!E88,Q14,IF('5-พฤติกรรมการปฏิบัติงาน'!L14=DataSet!E89,Q14,IF('5-พฤติกรรมการปฏิบัติงาน'!L14=DataSet!E90,R14,0)))</f>
        <v>0</v>
      </c>
      <c r="U14" s="262">
        <f>IF('5-พฤติกรรมการปฏิบัติงาน'!L14=DataSet!E88,R14,IF('5-พฤติกรรมการปฏิบัติงาน'!L14=DataSet!E89,Q14,IF('5-พฤติกรรมการปฏิบัติงาน'!L14=DataSet!E90,S14,0)))</f>
        <v>0</v>
      </c>
      <c r="V14" s="262">
        <f>IF('5-พฤติกรรมการปฏิบัติงาน'!L14=DataSet!E88,S14,IF('5-พฤติกรรมการปฏิบัติงาน'!L14=DataSet!E89,R14,IF('5-พฤติกรรมการปฏิบัติงาน'!L14=DataSet!E90,S14,0)))</f>
        <v>0</v>
      </c>
      <c r="W14" s="68"/>
    </row>
    <row r="15" spans="1:29" s="140" customFormat="1" ht="27.75" x14ac:dyDescent="0.65">
      <c r="A15" s="54">
        <v>6</v>
      </c>
      <c r="B15" s="487" t="s">
        <v>307</v>
      </c>
      <c r="C15" s="487"/>
      <c r="D15" s="487"/>
      <c r="E15" s="487"/>
      <c r="F15" s="487"/>
      <c r="G15" s="488"/>
      <c r="H15" s="183"/>
      <c r="I15" s="96"/>
      <c r="J15" s="213"/>
      <c r="K15" s="227">
        <f t="shared" si="0"/>
        <v>0</v>
      </c>
      <c r="L15" s="494"/>
      <c r="M15" s="431"/>
      <c r="N15" s="431"/>
      <c r="O15" s="229">
        <f>IF(H15=1,'5-พฤติกรรมการปฏิบัติงาน'!T15,IF(I15=1,'5-พฤติกรรมการปฏิบัติงาน'!U15,IF(J15=1,'5-พฤติกรรมการปฏิบัติงาน'!V15,0)))</f>
        <v>0</v>
      </c>
      <c r="P15" s="67"/>
      <c r="Q15" s="261">
        <v>1</v>
      </c>
      <c r="R15" s="261">
        <v>0.5</v>
      </c>
      <c r="S15" s="68">
        <v>0</v>
      </c>
      <c r="T15" s="262">
        <f>IF('5-พฤติกรรมการปฏิบัติงาน'!L15=DataSet!E88,Q15,IF('5-พฤติกรรมการปฏิบัติงาน'!L15=DataSet!E89,Q15,IF('5-พฤติกรรมการปฏิบัติงาน'!L15=DataSet!E90,R15,0)))</f>
        <v>0</v>
      </c>
      <c r="U15" s="262">
        <f>IF('5-พฤติกรรมการปฏิบัติงาน'!L15=DataSet!E88,R15,IF('5-พฤติกรรมการปฏิบัติงาน'!L15=DataSet!E89,Q15,IF('5-พฤติกรรมการปฏิบัติงาน'!L15=DataSet!E90,S15,0)))</f>
        <v>0</v>
      </c>
      <c r="V15" s="262">
        <f>IF('5-พฤติกรรมการปฏิบัติงาน'!L15=DataSet!E88,S15,IF('5-พฤติกรรมการปฏิบัติงาน'!L15=DataSet!E89,R15,IF('5-พฤติกรรมการปฏิบัติงาน'!L15=DataSet!E90,S15,0)))</f>
        <v>0</v>
      </c>
      <c r="W15" s="68"/>
    </row>
    <row r="16" spans="1:29" s="140" customFormat="1" x14ac:dyDescent="0.55000000000000004">
      <c r="A16" s="54">
        <v>7</v>
      </c>
      <c r="B16" s="485" t="s">
        <v>308</v>
      </c>
      <c r="C16" s="485"/>
      <c r="D16" s="485"/>
      <c r="E16" s="485"/>
      <c r="F16" s="485"/>
      <c r="G16" s="486"/>
      <c r="H16" s="183"/>
      <c r="I16" s="96"/>
      <c r="J16" s="213"/>
      <c r="K16" s="227">
        <f t="shared" si="0"/>
        <v>0</v>
      </c>
      <c r="L16" s="494"/>
      <c r="M16" s="431"/>
      <c r="N16" s="431"/>
      <c r="O16" s="229">
        <f>IF(H16=1,'5-พฤติกรรมการปฏิบัติงาน'!T16,IF(I16=1,'5-พฤติกรรมการปฏิบัติงาน'!U16,IF(J16=1,'5-พฤติกรรมการปฏิบัติงาน'!V16,0)))</f>
        <v>0</v>
      </c>
      <c r="P16" s="67"/>
      <c r="Q16" s="261">
        <v>1</v>
      </c>
      <c r="R16" s="261">
        <v>0.5</v>
      </c>
      <c r="S16" s="68">
        <v>0</v>
      </c>
      <c r="T16" s="262">
        <f>IF('5-พฤติกรรมการปฏิบัติงาน'!L16=DataSet!E88,Q16,IF('5-พฤติกรรมการปฏิบัติงาน'!L16=DataSet!E89,Q16,IF('5-พฤติกรรมการปฏิบัติงาน'!L16=DataSet!E90,R16,0)))</f>
        <v>0</v>
      </c>
      <c r="U16" s="262">
        <f>IF('5-พฤติกรรมการปฏิบัติงาน'!L16=DataSet!E88,R16,IF('5-พฤติกรรมการปฏิบัติงาน'!L16=DataSet!E89,Q16,IF('5-พฤติกรรมการปฏิบัติงาน'!L16=DataSet!E90,S16,0)))</f>
        <v>0</v>
      </c>
      <c r="V16" s="262">
        <f>IF('5-พฤติกรรมการปฏิบัติงาน'!L16=DataSet!E88,S16,IF('5-พฤติกรรมการปฏิบัติงาน'!L16=DataSet!E89,R16,IF('5-พฤติกรรมการปฏิบัติงาน'!L16=DataSet!E90,S16,0)))</f>
        <v>0</v>
      </c>
      <c r="W16" s="67"/>
    </row>
    <row r="17" spans="1:26" s="140" customFormat="1" x14ac:dyDescent="0.55000000000000004">
      <c r="A17" s="54">
        <v>8</v>
      </c>
      <c r="B17" s="485" t="s">
        <v>309</v>
      </c>
      <c r="C17" s="485"/>
      <c r="D17" s="485"/>
      <c r="E17" s="485"/>
      <c r="F17" s="485"/>
      <c r="G17" s="486"/>
      <c r="H17" s="183"/>
      <c r="I17" s="96"/>
      <c r="J17" s="213"/>
      <c r="K17" s="227">
        <f t="shared" si="0"/>
        <v>0</v>
      </c>
      <c r="L17" s="494"/>
      <c r="M17" s="431"/>
      <c r="N17" s="431"/>
      <c r="O17" s="229">
        <f>IF(H17=1,'5-พฤติกรรมการปฏิบัติงาน'!T17,IF(I17=1,'5-พฤติกรรมการปฏิบัติงาน'!U17,IF(J17=1,'5-พฤติกรรมการปฏิบัติงาน'!V17,0)))</f>
        <v>0</v>
      </c>
      <c r="P17" s="67"/>
      <c r="Q17" s="261">
        <v>1</v>
      </c>
      <c r="R17" s="261">
        <v>0.5</v>
      </c>
      <c r="S17" s="68">
        <v>0</v>
      </c>
      <c r="T17" s="262">
        <f>IF('5-พฤติกรรมการปฏิบัติงาน'!L17=DataSet!E88,Q17,IF('5-พฤติกรรมการปฏิบัติงาน'!L17=DataSet!E89,Q17,IF('5-พฤติกรรมการปฏิบัติงาน'!L17=DataSet!E90,R17,0)))</f>
        <v>0</v>
      </c>
      <c r="U17" s="262">
        <f>IF('5-พฤติกรรมการปฏิบัติงาน'!L17=DataSet!E88,R17,IF('5-พฤติกรรมการปฏิบัติงาน'!L17=DataSet!E89,Q17,IF('5-พฤติกรรมการปฏิบัติงาน'!L17=DataSet!E90,S17,0)))</f>
        <v>0</v>
      </c>
      <c r="V17" s="262">
        <f>IF('5-พฤติกรรมการปฏิบัติงาน'!L17=DataSet!E88,S17,IF('5-พฤติกรรมการปฏิบัติงาน'!L17=DataSet!E89,R17,IF('5-พฤติกรรมการปฏิบัติงาน'!L17=DataSet!E90,S17,0)))</f>
        <v>0</v>
      </c>
      <c r="W17" s="67"/>
    </row>
    <row r="18" spans="1:26" s="140" customFormat="1" ht="24.75" thickBot="1" x14ac:dyDescent="0.6">
      <c r="A18" s="55">
        <v>9</v>
      </c>
      <c r="B18" s="459" t="s">
        <v>310</v>
      </c>
      <c r="C18" s="459"/>
      <c r="D18" s="459"/>
      <c r="E18" s="459"/>
      <c r="F18" s="459"/>
      <c r="G18" s="460"/>
      <c r="H18" s="220"/>
      <c r="I18" s="221"/>
      <c r="J18" s="214"/>
      <c r="K18" s="228">
        <f t="shared" si="0"/>
        <v>0</v>
      </c>
      <c r="L18" s="489"/>
      <c r="M18" s="441"/>
      <c r="N18" s="441"/>
      <c r="O18" s="230">
        <f>IF(H18=1,'5-พฤติกรรมการปฏิบัติงาน'!T18,IF(I18=1,'5-พฤติกรรมการปฏิบัติงาน'!U18,IF(J18=1,'5-พฤติกรรมการปฏิบัติงาน'!V18,0)))</f>
        <v>0</v>
      </c>
      <c r="P18" s="67"/>
      <c r="Q18" s="261">
        <v>1</v>
      </c>
      <c r="R18" s="261">
        <v>0.5</v>
      </c>
      <c r="S18" s="68">
        <v>0</v>
      </c>
      <c r="T18" s="262">
        <f>IF('5-พฤติกรรมการปฏิบัติงาน'!L18=DataSet!E88,Q18,IF('5-พฤติกรรมการปฏิบัติงาน'!L18=DataSet!E89,Q18,IF('5-พฤติกรรมการปฏิบัติงาน'!L18=DataSet!E90,R18,0)))</f>
        <v>0</v>
      </c>
      <c r="U18" s="262">
        <f>IF('5-พฤติกรรมการปฏิบัติงาน'!L18=DataSet!E88,R18,IF('5-พฤติกรรมการปฏิบัติงาน'!L18=DataSet!E89,Q18,IF('5-พฤติกรรมการปฏิบัติงาน'!L18=DataSet!E90,S18,0)))</f>
        <v>0</v>
      </c>
      <c r="V18" s="262">
        <f>IF('5-พฤติกรรมการปฏิบัติงาน'!L18=DataSet!E88,S18,IF('5-พฤติกรรมการปฏิบัติงาน'!L18=DataSet!E89,R18,IF('5-พฤติกรรมการปฏิบัติงาน'!L18=DataSet!E90,S18,0)))</f>
        <v>0</v>
      </c>
      <c r="W18" s="67"/>
    </row>
    <row r="19" spans="1:26" ht="24" customHeight="1" thickBot="1" x14ac:dyDescent="0.6">
      <c r="A19" s="471" t="s">
        <v>301</v>
      </c>
      <c r="B19" s="362"/>
      <c r="C19" s="362"/>
      <c r="D19" s="362"/>
      <c r="E19" s="362"/>
      <c r="F19" s="362"/>
      <c r="G19" s="362"/>
      <c r="H19" s="451" t="s">
        <v>291</v>
      </c>
      <c r="I19" s="452"/>
      <c r="J19" s="219">
        <f>(SUM(K22:K25)*3)/4</f>
        <v>0</v>
      </c>
      <c r="K19" s="217" t="s">
        <v>20</v>
      </c>
      <c r="L19" s="446" t="s">
        <v>348</v>
      </c>
      <c r="M19" s="447"/>
      <c r="N19" s="225">
        <f>(SUM(O22:O25)*3)/4</f>
        <v>0</v>
      </c>
      <c r="O19" s="226" t="s">
        <v>20</v>
      </c>
      <c r="P19" s="258"/>
      <c r="Q19" s="258"/>
      <c r="T19" s="186"/>
    </row>
    <row r="20" spans="1:26" s="173" customFormat="1" ht="24.75" customHeight="1" x14ac:dyDescent="0.55000000000000004">
      <c r="A20" s="438" t="s">
        <v>153</v>
      </c>
      <c r="B20" s="462" t="s">
        <v>353</v>
      </c>
      <c r="C20" s="462"/>
      <c r="D20" s="462"/>
      <c r="E20" s="462"/>
      <c r="F20" s="462"/>
      <c r="G20" s="462"/>
      <c r="H20" s="482" t="s">
        <v>291</v>
      </c>
      <c r="I20" s="483"/>
      <c r="J20" s="483"/>
      <c r="K20" s="484" t="s">
        <v>20</v>
      </c>
      <c r="L20" s="455" t="s">
        <v>332</v>
      </c>
      <c r="M20" s="455"/>
      <c r="N20" s="455"/>
      <c r="O20" s="466" t="s">
        <v>20</v>
      </c>
      <c r="P20" s="259"/>
      <c r="Q20" s="259"/>
      <c r="R20" s="187"/>
      <c r="S20" s="187"/>
      <c r="T20" s="186"/>
      <c r="U20" s="187"/>
      <c r="V20" s="187"/>
      <c r="W20" s="187"/>
      <c r="X20" s="144"/>
      <c r="Y20" s="144"/>
      <c r="Z20" s="144"/>
    </row>
    <row r="21" spans="1:26" s="173" customFormat="1" ht="24.75" customHeight="1" x14ac:dyDescent="0.55000000000000004">
      <c r="A21" s="478"/>
      <c r="B21" s="477"/>
      <c r="C21" s="477"/>
      <c r="D21" s="477"/>
      <c r="E21" s="477"/>
      <c r="F21" s="477"/>
      <c r="G21" s="477"/>
      <c r="H21" s="174" t="s">
        <v>293</v>
      </c>
      <c r="I21" s="210" t="s">
        <v>294</v>
      </c>
      <c r="J21" s="209" t="s">
        <v>295</v>
      </c>
      <c r="K21" s="449"/>
      <c r="L21" s="456"/>
      <c r="M21" s="456"/>
      <c r="N21" s="456"/>
      <c r="O21" s="475"/>
      <c r="P21" s="259"/>
      <c r="Q21" s="259"/>
      <c r="R21" s="187"/>
      <c r="S21" s="187"/>
      <c r="T21" s="186"/>
      <c r="U21" s="187"/>
      <c r="V21" s="187"/>
      <c r="W21" s="187"/>
      <c r="X21" s="144"/>
      <c r="Y21" s="144"/>
      <c r="Z21" s="144"/>
    </row>
    <row r="22" spans="1:26" s="140" customFormat="1" x14ac:dyDescent="0.55000000000000004">
      <c r="A22" s="60">
        <v>1</v>
      </c>
      <c r="B22" s="453" t="s">
        <v>311</v>
      </c>
      <c r="C22" s="454"/>
      <c r="D22" s="454"/>
      <c r="E22" s="454"/>
      <c r="F22" s="454"/>
      <c r="G22" s="454"/>
      <c r="H22" s="183"/>
      <c r="I22" s="96"/>
      <c r="J22" s="213"/>
      <c r="K22" s="227">
        <f t="shared" ref="K22:K25" si="1">IF(H22=1,1,IF(I22=1,0.5,IF(J22=1,0,0)))</f>
        <v>0</v>
      </c>
      <c r="L22" s="431"/>
      <c r="M22" s="431"/>
      <c r="N22" s="431"/>
      <c r="O22" s="229">
        <f>IF(H22=1,'5-พฤติกรรมการปฏิบัติงาน'!T22,IF(I22=1,'5-พฤติกรรมการปฏิบัติงาน'!U22,IF(J22=1,'5-พฤติกรรมการปฏิบัติงาน'!V22,0)))</f>
        <v>0</v>
      </c>
      <c r="P22" s="263"/>
      <c r="Q22" s="261">
        <v>1</v>
      </c>
      <c r="R22" s="261">
        <v>0.5</v>
      </c>
      <c r="S22" s="68">
        <v>0</v>
      </c>
      <c r="T22" s="262">
        <f>IF('5-พฤติกรรมการปฏิบัติงาน'!L22=DataSet!E88,Q22,IF('5-พฤติกรรมการปฏิบัติงาน'!L22=DataSet!E89,Q22,IF('5-พฤติกรรมการปฏิบัติงาน'!L22=DataSet!E90,R22,0)))</f>
        <v>0</v>
      </c>
      <c r="U22" s="262">
        <f>IF('5-พฤติกรรมการปฏิบัติงาน'!L22=DataSet!E88,R22,IF('5-พฤติกรรมการปฏิบัติงาน'!L22=DataSet!E89,Q22,IF('5-พฤติกรรมการปฏิบัติงาน'!L22=DataSet!E90,S22,0)))</f>
        <v>0</v>
      </c>
      <c r="V22" s="262">
        <f>IF('5-พฤติกรรมการปฏิบัติงาน'!L22=DataSet!E88,S22,IF('5-พฤติกรรมการปฏิบัติงาน'!L22=DataSet!E89,R22,IF('5-พฤติกรรมการปฏิบัติงาน'!L22=DataSet!E90,S22,0)))</f>
        <v>0</v>
      </c>
      <c r="W22" s="67"/>
    </row>
    <row r="23" spans="1:26" s="140" customFormat="1" x14ac:dyDescent="0.55000000000000004">
      <c r="A23" s="60">
        <v>2</v>
      </c>
      <c r="B23" s="453" t="s">
        <v>312</v>
      </c>
      <c r="C23" s="454"/>
      <c r="D23" s="454"/>
      <c r="E23" s="454"/>
      <c r="F23" s="454"/>
      <c r="G23" s="454"/>
      <c r="H23" s="183"/>
      <c r="I23" s="96"/>
      <c r="J23" s="213"/>
      <c r="K23" s="227">
        <f t="shared" si="1"/>
        <v>0</v>
      </c>
      <c r="L23" s="431"/>
      <c r="M23" s="431"/>
      <c r="N23" s="431"/>
      <c r="O23" s="229">
        <f>IF(H23=1,'5-พฤติกรรมการปฏิบัติงาน'!T23,IF(I23=1,'5-พฤติกรรมการปฏิบัติงาน'!U23,IF(J23=1,'5-พฤติกรรมการปฏิบัติงาน'!V23,0)))</f>
        <v>0</v>
      </c>
      <c r="P23" s="263"/>
      <c r="Q23" s="261">
        <v>1</v>
      </c>
      <c r="R23" s="261">
        <v>0.5</v>
      </c>
      <c r="S23" s="68">
        <v>0</v>
      </c>
      <c r="T23" s="262">
        <f>IF('5-พฤติกรรมการปฏิบัติงาน'!L23=DataSet!E88,Q23,IF('5-พฤติกรรมการปฏิบัติงาน'!L23=DataSet!E89,Q23,IF('5-พฤติกรรมการปฏิบัติงาน'!L23=DataSet!E90,R23,0)))</f>
        <v>0</v>
      </c>
      <c r="U23" s="262">
        <f>IF('5-พฤติกรรมการปฏิบัติงาน'!L23=DataSet!E88,R23,IF('5-พฤติกรรมการปฏิบัติงาน'!L23=DataSet!E89,Q23,IF('5-พฤติกรรมการปฏิบัติงาน'!L23=DataSet!E90,S23,0)))</f>
        <v>0</v>
      </c>
      <c r="V23" s="262">
        <f>IF('5-พฤติกรรมการปฏิบัติงาน'!L23=DataSet!E88,S23,IF('5-พฤติกรรมการปฏิบัติงาน'!L23=DataSet!E89,R23,IF('5-พฤติกรรมการปฏิบัติงาน'!L23=DataSet!E90,S23,0)))</f>
        <v>0</v>
      </c>
      <c r="W23" s="67"/>
    </row>
    <row r="24" spans="1:26" s="140" customFormat="1" x14ac:dyDescent="0.55000000000000004">
      <c r="A24" s="60">
        <v>3</v>
      </c>
      <c r="B24" s="453" t="s">
        <v>313</v>
      </c>
      <c r="C24" s="454"/>
      <c r="D24" s="454"/>
      <c r="E24" s="454"/>
      <c r="F24" s="454"/>
      <c r="G24" s="454"/>
      <c r="H24" s="183"/>
      <c r="I24" s="96"/>
      <c r="J24" s="213"/>
      <c r="K24" s="227">
        <f t="shared" si="1"/>
        <v>0</v>
      </c>
      <c r="L24" s="431"/>
      <c r="M24" s="431"/>
      <c r="N24" s="431"/>
      <c r="O24" s="229">
        <f>IF(H24=1,'5-พฤติกรรมการปฏิบัติงาน'!T24,IF(I24=1,'5-พฤติกรรมการปฏิบัติงาน'!U24,IF(J24=1,'5-พฤติกรรมการปฏิบัติงาน'!V24,0)))</f>
        <v>0</v>
      </c>
      <c r="P24" s="263"/>
      <c r="Q24" s="261">
        <v>1</v>
      </c>
      <c r="R24" s="261">
        <v>0.5</v>
      </c>
      <c r="S24" s="68">
        <v>0</v>
      </c>
      <c r="T24" s="262">
        <f>IF('5-พฤติกรรมการปฏิบัติงาน'!L24=DataSet!E88,Q24,IF('5-พฤติกรรมการปฏิบัติงาน'!L24=DataSet!E89,Q24,IF('5-พฤติกรรมการปฏิบัติงาน'!L24=DataSet!E90,R24,0)))</f>
        <v>0</v>
      </c>
      <c r="U24" s="262">
        <f>IF('5-พฤติกรรมการปฏิบัติงาน'!L24=DataSet!E88,R24,IF('5-พฤติกรรมการปฏิบัติงาน'!L24=DataSet!E89,Q24,IF('5-พฤติกรรมการปฏิบัติงาน'!L24=DataSet!E90,S24,0)))</f>
        <v>0</v>
      </c>
      <c r="V24" s="262">
        <f>IF('5-พฤติกรรมการปฏิบัติงาน'!L24=DataSet!E88,S24,IF('5-พฤติกรรมการปฏิบัติงาน'!L24=DataSet!E89,R24,IF('5-พฤติกรรมการปฏิบัติงาน'!L24=DataSet!E90,S24,0)))</f>
        <v>0</v>
      </c>
      <c r="W24" s="67"/>
    </row>
    <row r="25" spans="1:26" s="140" customFormat="1" ht="24.75" thickBot="1" x14ac:dyDescent="0.6">
      <c r="A25" s="61">
        <v>4</v>
      </c>
      <c r="B25" s="479" t="s">
        <v>314</v>
      </c>
      <c r="C25" s="480"/>
      <c r="D25" s="480"/>
      <c r="E25" s="480"/>
      <c r="F25" s="480"/>
      <c r="G25" s="480"/>
      <c r="H25" s="184"/>
      <c r="I25" s="97"/>
      <c r="J25" s="212"/>
      <c r="K25" s="227">
        <f t="shared" si="1"/>
        <v>0</v>
      </c>
      <c r="L25" s="431"/>
      <c r="M25" s="431"/>
      <c r="N25" s="431"/>
      <c r="O25" s="230">
        <f>IF(H25=1,'5-พฤติกรรมการปฏิบัติงาน'!T25,IF(I25=1,'5-พฤติกรรมการปฏิบัติงาน'!U25,IF(J25=1,'5-พฤติกรรมการปฏิบัติงาน'!V25,0)))</f>
        <v>0</v>
      </c>
      <c r="P25" s="263"/>
      <c r="Q25" s="261">
        <v>1</v>
      </c>
      <c r="R25" s="261">
        <v>0.5</v>
      </c>
      <c r="S25" s="68">
        <v>0</v>
      </c>
      <c r="T25" s="262">
        <f>IF('5-พฤติกรรมการปฏิบัติงาน'!L25=DataSet!E88,Q25,IF('5-พฤติกรรมการปฏิบัติงาน'!L25=DataSet!E89,Q25,IF('5-พฤติกรรมการปฏิบัติงาน'!L25=DataSet!E90,R25,0)))</f>
        <v>0</v>
      </c>
      <c r="U25" s="262">
        <f>IF('5-พฤติกรรมการปฏิบัติงาน'!L25=DataSet!E88,R25,IF('5-พฤติกรรมการปฏิบัติงาน'!L25=DataSet!E89,Q25,IF('5-พฤติกรรมการปฏิบัติงาน'!L25=DataSet!E90,S25,0)))</f>
        <v>0</v>
      </c>
      <c r="V25" s="262">
        <f>IF('5-พฤติกรรมการปฏิบัติงาน'!L25=DataSet!E88,S25,IF('5-พฤติกรรมการปฏิบัติงาน'!L25=DataSet!E89,R25,IF('5-พฤติกรรมการปฏิบัติงาน'!L25=DataSet!E90,S25,0)))</f>
        <v>0</v>
      </c>
      <c r="W25" s="67"/>
    </row>
    <row r="26" spans="1:26" ht="24" customHeight="1" thickBot="1" x14ac:dyDescent="0.6">
      <c r="A26" s="471" t="s">
        <v>25</v>
      </c>
      <c r="B26" s="362"/>
      <c r="C26" s="362"/>
      <c r="D26" s="362"/>
      <c r="E26" s="362"/>
      <c r="F26" s="362"/>
      <c r="G26" s="362"/>
      <c r="H26" s="451" t="s">
        <v>291</v>
      </c>
      <c r="I26" s="452"/>
      <c r="J26" s="219">
        <f>(SUM(K29:K33)*3)/5</f>
        <v>0</v>
      </c>
      <c r="K26" s="217" t="s">
        <v>20</v>
      </c>
      <c r="L26" s="446" t="s">
        <v>348</v>
      </c>
      <c r="M26" s="447"/>
      <c r="N26" s="225">
        <f>(SUM(O29:O33)*3)/5</f>
        <v>0</v>
      </c>
      <c r="O26" s="226" t="s">
        <v>20</v>
      </c>
      <c r="P26" s="258"/>
      <c r="Q26" s="258"/>
      <c r="T26" s="262"/>
      <c r="V26" s="68"/>
    </row>
    <row r="27" spans="1:26" s="173" customFormat="1" ht="24.75" customHeight="1" x14ac:dyDescent="0.55000000000000004">
      <c r="A27" s="438" t="s">
        <v>153</v>
      </c>
      <c r="B27" s="462" t="s">
        <v>353</v>
      </c>
      <c r="C27" s="462"/>
      <c r="D27" s="462"/>
      <c r="E27" s="462"/>
      <c r="F27" s="462"/>
      <c r="G27" s="462"/>
      <c r="H27" s="465" t="s">
        <v>291</v>
      </c>
      <c r="I27" s="345"/>
      <c r="J27" s="345"/>
      <c r="K27" s="448" t="s">
        <v>20</v>
      </c>
      <c r="L27" s="455" t="s">
        <v>332</v>
      </c>
      <c r="M27" s="455"/>
      <c r="N27" s="455"/>
      <c r="O27" s="466" t="s">
        <v>20</v>
      </c>
      <c r="P27" s="259"/>
      <c r="Q27" s="259"/>
      <c r="R27" s="187"/>
      <c r="S27" s="187"/>
      <c r="T27" s="262"/>
      <c r="U27" s="187"/>
      <c r="V27" s="187"/>
      <c r="W27" s="187"/>
      <c r="X27" s="144"/>
      <c r="Y27" s="144"/>
      <c r="Z27" s="144"/>
    </row>
    <row r="28" spans="1:26" s="173" customFormat="1" ht="24.75" customHeight="1" x14ac:dyDescent="0.55000000000000004">
      <c r="A28" s="478"/>
      <c r="B28" s="477"/>
      <c r="C28" s="477"/>
      <c r="D28" s="477"/>
      <c r="E28" s="477"/>
      <c r="F28" s="477"/>
      <c r="G28" s="477"/>
      <c r="H28" s="174" t="s">
        <v>293</v>
      </c>
      <c r="I28" s="210" t="s">
        <v>294</v>
      </c>
      <c r="J28" s="209" t="s">
        <v>295</v>
      </c>
      <c r="K28" s="449"/>
      <c r="L28" s="456"/>
      <c r="M28" s="456"/>
      <c r="N28" s="456"/>
      <c r="O28" s="475"/>
      <c r="P28" s="259"/>
      <c r="Q28" s="259"/>
      <c r="R28" s="187"/>
      <c r="S28" s="187"/>
      <c r="T28" s="262"/>
      <c r="U28" s="187"/>
      <c r="V28" s="187"/>
      <c r="W28" s="187"/>
      <c r="X28" s="144"/>
      <c r="Y28" s="144"/>
      <c r="Z28" s="144"/>
    </row>
    <row r="29" spans="1:26" s="140" customFormat="1" x14ac:dyDescent="0.55000000000000004">
      <c r="A29" s="60">
        <v>1</v>
      </c>
      <c r="B29" s="453" t="s">
        <v>315</v>
      </c>
      <c r="C29" s="454"/>
      <c r="D29" s="454"/>
      <c r="E29" s="454"/>
      <c r="F29" s="454"/>
      <c r="G29" s="454"/>
      <c r="H29" s="183"/>
      <c r="I29" s="96"/>
      <c r="J29" s="213"/>
      <c r="K29" s="227">
        <f t="shared" ref="K29:K33" si="2">IF(H29=1,1,IF(I29=1,0.5,IF(J29=1,0,0)))</f>
        <v>0</v>
      </c>
      <c r="L29" s="431"/>
      <c r="M29" s="431"/>
      <c r="N29" s="431"/>
      <c r="O29" s="229">
        <f>IF(H29=1,'5-พฤติกรรมการปฏิบัติงาน'!T29,IF(I29=1,'5-พฤติกรรมการปฏิบัติงาน'!U29,IF(J29=1,'5-พฤติกรรมการปฏิบัติงาน'!V29,0)))</f>
        <v>0</v>
      </c>
      <c r="P29" s="263"/>
      <c r="Q29" s="261">
        <v>1</v>
      </c>
      <c r="R29" s="261">
        <v>0.5</v>
      </c>
      <c r="S29" s="68">
        <v>0</v>
      </c>
      <c r="T29" s="262">
        <f>IF('5-พฤติกรรมการปฏิบัติงาน'!L29=DataSet!E88,Q29,IF('5-พฤติกรรมการปฏิบัติงาน'!L29=DataSet!E89,Q29,IF('5-พฤติกรรมการปฏิบัติงาน'!L29=DataSet!E90,R29,0)))</f>
        <v>0</v>
      </c>
      <c r="U29" s="262">
        <f>IF('5-พฤติกรรมการปฏิบัติงาน'!L29=DataSet!E88,R29,IF('5-พฤติกรรมการปฏิบัติงาน'!L29=DataSet!E89,Q29,IF('5-พฤติกรรมการปฏิบัติงาน'!L29=DataSet!E90,S29,0)))</f>
        <v>0</v>
      </c>
      <c r="V29" s="262">
        <f>IF('5-พฤติกรรมการปฏิบัติงาน'!L29=DataSet!E88,S29,IF('5-พฤติกรรมการปฏิบัติงาน'!L29=DataSet!E89,R29,IF('5-พฤติกรรมการปฏิบัติงาน'!L29=DataSet!E90,S29,0)))</f>
        <v>0</v>
      </c>
      <c r="W29" s="67"/>
    </row>
    <row r="30" spans="1:26" s="140" customFormat="1" x14ac:dyDescent="0.55000000000000004">
      <c r="A30" s="60">
        <v>2</v>
      </c>
      <c r="B30" s="453" t="s">
        <v>316</v>
      </c>
      <c r="C30" s="454"/>
      <c r="D30" s="454"/>
      <c r="E30" s="454"/>
      <c r="F30" s="454"/>
      <c r="G30" s="454"/>
      <c r="H30" s="183"/>
      <c r="I30" s="96"/>
      <c r="J30" s="213"/>
      <c r="K30" s="227">
        <f t="shared" si="2"/>
        <v>0</v>
      </c>
      <c r="L30" s="431"/>
      <c r="M30" s="431"/>
      <c r="N30" s="431"/>
      <c r="O30" s="229">
        <f>IF(H30=1,'5-พฤติกรรมการปฏิบัติงาน'!T30,IF(I30=1,'5-พฤติกรรมการปฏิบัติงาน'!U30,IF(J30=1,'5-พฤติกรรมการปฏิบัติงาน'!V30,0)))</f>
        <v>0</v>
      </c>
      <c r="P30" s="263"/>
      <c r="Q30" s="261">
        <v>1</v>
      </c>
      <c r="R30" s="261">
        <v>0.5</v>
      </c>
      <c r="S30" s="68">
        <v>0</v>
      </c>
      <c r="T30" s="262">
        <f>IF('5-พฤติกรรมการปฏิบัติงาน'!L30=DataSet!E88,Q30,IF('5-พฤติกรรมการปฏิบัติงาน'!L30=DataSet!E89,Q30,IF('5-พฤติกรรมการปฏิบัติงาน'!L30=DataSet!E90,R30,0)))</f>
        <v>0</v>
      </c>
      <c r="U30" s="262">
        <f>IF('5-พฤติกรรมการปฏิบัติงาน'!L30=DataSet!E88,R30,IF('5-พฤติกรรมการปฏิบัติงาน'!L30=DataSet!E89,Q30,IF('5-พฤติกรรมการปฏิบัติงาน'!L30=DataSet!E90,S30,0)))</f>
        <v>0</v>
      </c>
      <c r="V30" s="262">
        <f>IF('5-พฤติกรรมการปฏิบัติงาน'!L30=DataSet!E88,S30,IF('5-พฤติกรรมการปฏิบัติงาน'!L30=DataSet!E89,R30,IF('5-พฤติกรรมการปฏิบัติงาน'!L30=DataSet!E90,S30,0)))</f>
        <v>0</v>
      </c>
      <c r="W30" s="67"/>
    </row>
    <row r="31" spans="1:26" s="140" customFormat="1" x14ac:dyDescent="0.55000000000000004">
      <c r="A31" s="60">
        <v>3</v>
      </c>
      <c r="B31" s="453" t="s">
        <v>317</v>
      </c>
      <c r="C31" s="454"/>
      <c r="D31" s="454"/>
      <c r="E31" s="454"/>
      <c r="F31" s="454"/>
      <c r="G31" s="454"/>
      <c r="H31" s="183"/>
      <c r="I31" s="96"/>
      <c r="J31" s="213"/>
      <c r="K31" s="227">
        <f t="shared" si="2"/>
        <v>0</v>
      </c>
      <c r="L31" s="431"/>
      <c r="M31" s="431"/>
      <c r="N31" s="431"/>
      <c r="O31" s="229">
        <f>IF(H31=1,'5-พฤติกรรมการปฏิบัติงาน'!T31,IF(I31=1,'5-พฤติกรรมการปฏิบัติงาน'!U31,IF(J31=1,'5-พฤติกรรมการปฏิบัติงาน'!V31,0)))</f>
        <v>0</v>
      </c>
      <c r="P31" s="263"/>
      <c r="Q31" s="261">
        <v>1</v>
      </c>
      <c r="R31" s="261">
        <v>0.5</v>
      </c>
      <c r="S31" s="68">
        <v>0</v>
      </c>
      <c r="T31" s="262">
        <f>IF('5-พฤติกรรมการปฏิบัติงาน'!L31=DataSet!E88,Q31,IF('5-พฤติกรรมการปฏิบัติงาน'!L31=DataSet!E89,Q31,IF('5-พฤติกรรมการปฏิบัติงาน'!L31=DataSet!E90,R31,0)))</f>
        <v>0</v>
      </c>
      <c r="U31" s="262">
        <f>IF('5-พฤติกรรมการปฏิบัติงาน'!L31=DataSet!E88,R31,IF('5-พฤติกรรมการปฏิบัติงาน'!L31=DataSet!E89,Q31,IF('5-พฤติกรรมการปฏิบัติงาน'!L31=DataSet!E90,S31,0)))</f>
        <v>0</v>
      </c>
      <c r="V31" s="262">
        <f>IF('5-พฤติกรรมการปฏิบัติงาน'!L31=DataSet!E88,S31,IF('5-พฤติกรรมการปฏิบัติงาน'!L31=DataSet!E89,R31,IF('5-พฤติกรรมการปฏิบัติงาน'!L31=DataSet!E90,S31,0)))</f>
        <v>0</v>
      </c>
      <c r="W31" s="67"/>
    </row>
    <row r="32" spans="1:26" s="140" customFormat="1" x14ac:dyDescent="0.55000000000000004">
      <c r="A32" s="60">
        <v>4</v>
      </c>
      <c r="B32" s="453" t="s">
        <v>318</v>
      </c>
      <c r="C32" s="454"/>
      <c r="D32" s="454"/>
      <c r="E32" s="454"/>
      <c r="F32" s="454"/>
      <c r="G32" s="454"/>
      <c r="H32" s="183"/>
      <c r="I32" s="96"/>
      <c r="J32" s="213"/>
      <c r="K32" s="227">
        <f t="shared" si="2"/>
        <v>0</v>
      </c>
      <c r="L32" s="431"/>
      <c r="M32" s="431"/>
      <c r="N32" s="431"/>
      <c r="O32" s="229">
        <f>IF(H32=1,'5-พฤติกรรมการปฏิบัติงาน'!T32,IF(I32=1,'5-พฤติกรรมการปฏิบัติงาน'!U32,IF(J32=1,'5-พฤติกรรมการปฏิบัติงาน'!V32,0)))</f>
        <v>0</v>
      </c>
      <c r="P32" s="263"/>
      <c r="Q32" s="261">
        <v>1</v>
      </c>
      <c r="R32" s="261">
        <v>0.5</v>
      </c>
      <c r="S32" s="68">
        <v>0</v>
      </c>
      <c r="T32" s="262">
        <f>IF('5-พฤติกรรมการปฏิบัติงาน'!L32=DataSet!E88,Q32,IF('5-พฤติกรรมการปฏิบัติงาน'!L32=DataSet!E89,Q32,IF('5-พฤติกรรมการปฏิบัติงาน'!L32=DataSet!E90,R32,0)))</f>
        <v>0</v>
      </c>
      <c r="U32" s="262">
        <f>IF('5-พฤติกรรมการปฏิบัติงาน'!L32=DataSet!E88,R32,IF('5-พฤติกรรมการปฏิบัติงาน'!L32=DataSet!E89,Q32,IF('5-พฤติกรรมการปฏิบัติงาน'!L32=DataSet!E90,S32,0)))</f>
        <v>0</v>
      </c>
      <c r="V32" s="262">
        <f>IF('5-พฤติกรรมการปฏิบัติงาน'!L32=DataSet!E88,S32,IF('5-พฤติกรรมการปฏิบัติงาน'!L32=DataSet!E89,R32,IF('5-พฤติกรรมการปฏิบัติงาน'!L32=DataSet!E90,S32,0)))</f>
        <v>0</v>
      </c>
      <c r="W32" s="67"/>
    </row>
    <row r="33" spans="1:26" s="140" customFormat="1" ht="24.75" thickBot="1" x14ac:dyDescent="0.6">
      <c r="A33" s="61">
        <v>5</v>
      </c>
      <c r="B33" s="481" t="s">
        <v>319</v>
      </c>
      <c r="C33" s="481"/>
      <c r="D33" s="481"/>
      <c r="E33" s="481"/>
      <c r="F33" s="481"/>
      <c r="G33" s="479"/>
      <c r="H33" s="184"/>
      <c r="I33" s="97"/>
      <c r="J33" s="212"/>
      <c r="K33" s="227">
        <f t="shared" si="2"/>
        <v>0</v>
      </c>
      <c r="L33" s="431"/>
      <c r="M33" s="431"/>
      <c r="N33" s="431"/>
      <c r="O33" s="230">
        <f>IF(H33=1,'5-พฤติกรรมการปฏิบัติงาน'!T33,IF(I33=1,'5-พฤติกรรมการปฏิบัติงาน'!U33,IF(J33=1,'5-พฤติกรรมการปฏิบัติงาน'!V33,0)))</f>
        <v>0</v>
      </c>
      <c r="P33" s="263"/>
      <c r="Q33" s="261">
        <v>1</v>
      </c>
      <c r="R33" s="261">
        <v>0.5</v>
      </c>
      <c r="S33" s="68">
        <v>0</v>
      </c>
      <c r="T33" s="262">
        <f>IF('5-พฤติกรรมการปฏิบัติงาน'!L33=DataSet!E88,Q33,IF('5-พฤติกรรมการปฏิบัติงาน'!L33=DataSet!E89,Q33,IF('5-พฤติกรรมการปฏิบัติงาน'!L33=DataSet!E90,R33,0)))</f>
        <v>0</v>
      </c>
      <c r="U33" s="262">
        <f>IF('5-พฤติกรรมการปฏิบัติงาน'!L33=DataSet!E88,R33,IF('5-พฤติกรรมการปฏิบัติงาน'!L33=DataSet!E89,Q33,IF('5-พฤติกรรมการปฏิบัติงาน'!L33=DataSet!E90,S33,0)))</f>
        <v>0</v>
      </c>
      <c r="V33" s="262">
        <f>IF('5-พฤติกรรมการปฏิบัติงาน'!L33=DataSet!E88,S33,IF('5-พฤติกรรมการปฏิบัติงาน'!L33=DataSet!E89,R33,IF('5-พฤติกรรมการปฏิบัติงาน'!L33=DataSet!E90,S33,0)))</f>
        <v>0</v>
      </c>
      <c r="W33" s="67"/>
    </row>
    <row r="34" spans="1:26" ht="24" customHeight="1" thickBot="1" x14ac:dyDescent="0.6">
      <c r="A34" s="471" t="s">
        <v>300</v>
      </c>
      <c r="B34" s="362"/>
      <c r="C34" s="362"/>
      <c r="D34" s="362"/>
      <c r="E34" s="362"/>
      <c r="F34" s="362"/>
      <c r="G34" s="362"/>
      <c r="H34" s="451" t="s">
        <v>291</v>
      </c>
      <c r="I34" s="452"/>
      <c r="J34" s="219">
        <f>(SUM(K37:K38)*3)/2</f>
        <v>0</v>
      </c>
      <c r="K34" s="217" t="s">
        <v>20</v>
      </c>
      <c r="L34" s="446" t="s">
        <v>348</v>
      </c>
      <c r="M34" s="447"/>
      <c r="N34" s="225">
        <f>(SUM(O37:O38)*3)/2</f>
        <v>0</v>
      </c>
      <c r="O34" s="226" t="s">
        <v>20</v>
      </c>
      <c r="P34" s="258"/>
      <c r="Q34" s="258"/>
      <c r="T34" s="262"/>
      <c r="V34" s="68"/>
    </row>
    <row r="35" spans="1:26" s="173" customFormat="1" ht="24.75" customHeight="1" x14ac:dyDescent="0.55000000000000004">
      <c r="A35" s="438" t="s">
        <v>153</v>
      </c>
      <c r="B35" s="462" t="s">
        <v>353</v>
      </c>
      <c r="C35" s="462"/>
      <c r="D35" s="462"/>
      <c r="E35" s="462"/>
      <c r="F35" s="462"/>
      <c r="G35" s="462"/>
      <c r="H35" s="465" t="s">
        <v>291</v>
      </c>
      <c r="I35" s="345"/>
      <c r="J35" s="345"/>
      <c r="K35" s="448" t="s">
        <v>20</v>
      </c>
      <c r="L35" s="455" t="s">
        <v>332</v>
      </c>
      <c r="M35" s="455"/>
      <c r="N35" s="455"/>
      <c r="O35" s="466" t="s">
        <v>20</v>
      </c>
      <c r="P35" s="259"/>
      <c r="Q35" s="259"/>
      <c r="R35" s="187"/>
      <c r="S35" s="187"/>
      <c r="T35" s="262"/>
      <c r="U35" s="187"/>
      <c r="V35" s="187"/>
      <c r="W35" s="187"/>
      <c r="X35" s="144"/>
      <c r="Y35" s="144"/>
      <c r="Z35" s="144"/>
    </row>
    <row r="36" spans="1:26" s="173" customFormat="1" ht="24.75" customHeight="1" x14ac:dyDescent="0.55000000000000004">
      <c r="A36" s="478"/>
      <c r="B36" s="477"/>
      <c r="C36" s="477"/>
      <c r="D36" s="477"/>
      <c r="E36" s="477"/>
      <c r="F36" s="477"/>
      <c r="G36" s="477"/>
      <c r="H36" s="174" t="s">
        <v>293</v>
      </c>
      <c r="I36" s="210" t="s">
        <v>294</v>
      </c>
      <c r="J36" s="209" t="s">
        <v>295</v>
      </c>
      <c r="K36" s="449"/>
      <c r="L36" s="456"/>
      <c r="M36" s="456"/>
      <c r="N36" s="456"/>
      <c r="O36" s="475"/>
      <c r="P36" s="259"/>
      <c r="Q36" s="259"/>
      <c r="R36" s="187"/>
      <c r="S36" s="187"/>
      <c r="T36" s="262"/>
      <c r="U36" s="187"/>
      <c r="V36" s="187"/>
      <c r="W36" s="187"/>
      <c r="X36" s="144"/>
      <c r="Y36" s="144"/>
      <c r="Z36" s="144"/>
    </row>
    <row r="37" spans="1:26" s="140" customFormat="1" x14ac:dyDescent="0.55000000000000004">
      <c r="A37" s="60">
        <v>1</v>
      </c>
      <c r="B37" s="453" t="s">
        <v>320</v>
      </c>
      <c r="C37" s="454"/>
      <c r="D37" s="454"/>
      <c r="E37" s="454"/>
      <c r="F37" s="454"/>
      <c r="G37" s="454"/>
      <c r="H37" s="183"/>
      <c r="I37" s="96"/>
      <c r="J37" s="213"/>
      <c r="K37" s="227">
        <f t="shared" ref="K37:K38" si="3">IF(H37=1,1,IF(I37=1,0.5,IF(J37=1,0,0)))</f>
        <v>0</v>
      </c>
      <c r="L37" s="431"/>
      <c r="M37" s="431"/>
      <c r="N37" s="431"/>
      <c r="O37" s="229">
        <f>IF(H37=1,'5-พฤติกรรมการปฏิบัติงาน'!T37,IF(I37=1,'5-พฤติกรรมการปฏิบัติงาน'!U37,IF(J37=1,'5-พฤติกรรมการปฏิบัติงาน'!V37,0)))</f>
        <v>0</v>
      </c>
      <c r="P37" s="263"/>
      <c r="Q37" s="261">
        <v>1</v>
      </c>
      <c r="R37" s="261">
        <v>0.5</v>
      </c>
      <c r="S37" s="68">
        <v>0</v>
      </c>
      <c r="T37" s="262">
        <f>IF('5-พฤติกรรมการปฏิบัติงาน'!L37=DataSet!E88,Q37,IF('5-พฤติกรรมการปฏิบัติงาน'!L37=DataSet!E89,Q37,IF('5-พฤติกรรมการปฏิบัติงาน'!L37=DataSet!E90,R37,0)))</f>
        <v>0</v>
      </c>
      <c r="U37" s="262">
        <f>IF('5-พฤติกรรมการปฏิบัติงาน'!L37=DataSet!E88,R37,IF('5-พฤติกรรมการปฏิบัติงาน'!L37=DataSet!E89,Q37,IF('5-พฤติกรรมการปฏิบัติงาน'!L37=DataSet!E90,S37,0)))</f>
        <v>0</v>
      </c>
      <c r="V37" s="68">
        <f>IF('5-พฤติกรรมการปฏิบัติงาน'!L37=DataSet!E88,S37,IF('5-พฤติกรรมการปฏิบัติงาน'!L37=DataSet!E89,R37,IF('5-พฤติกรรมการปฏิบัติงาน'!L37=DataSet!E90,S37,0)))</f>
        <v>0</v>
      </c>
      <c r="W37" s="67"/>
    </row>
    <row r="38" spans="1:26" s="140" customFormat="1" ht="24.75" thickBot="1" x14ac:dyDescent="0.6">
      <c r="A38" s="61">
        <v>2</v>
      </c>
      <c r="B38" s="479" t="s">
        <v>321</v>
      </c>
      <c r="C38" s="480"/>
      <c r="D38" s="480"/>
      <c r="E38" s="480"/>
      <c r="F38" s="480"/>
      <c r="G38" s="480"/>
      <c r="H38" s="184"/>
      <c r="I38" s="97"/>
      <c r="J38" s="212"/>
      <c r="K38" s="227">
        <f t="shared" si="3"/>
        <v>0</v>
      </c>
      <c r="L38" s="431"/>
      <c r="M38" s="431"/>
      <c r="N38" s="431"/>
      <c r="O38" s="230">
        <f>IF(H38=1,'5-พฤติกรรมการปฏิบัติงาน'!T38,IF(I38=1,'5-พฤติกรรมการปฏิบัติงาน'!U38,IF(J38=1,'5-พฤติกรรมการปฏิบัติงาน'!V38,0)))</f>
        <v>0</v>
      </c>
      <c r="P38" s="263"/>
      <c r="Q38" s="261">
        <v>1</v>
      </c>
      <c r="R38" s="261">
        <v>0.5</v>
      </c>
      <c r="S38" s="68">
        <v>0</v>
      </c>
      <c r="T38" s="262">
        <f>IF('5-พฤติกรรมการปฏิบัติงาน'!L38=DataSet!E88,Q38,IF('5-พฤติกรรมการปฏิบัติงาน'!L38=DataSet!E89,Q38,IF('5-พฤติกรรมการปฏิบัติงาน'!L38=DataSet!E90,R38,0)))</f>
        <v>0</v>
      </c>
      <c r="U38" s="262">
        <f>IF('5-พฤติกรรมการปฏิบัติงาน'!L38=DataSet!E88,R38,IF('5-พฤติกรรมการปฏิบัติงาน'!L38=DataSet!E89,Q38,IF('5-พฤติกรรมการปฏิบัติงาน'!L38=DataSet!E90,S38,0)))</f>
        <v>0</v>
      </c>
      <c r="V38" s="68">
        <f>IF('5-พฤติกรรมการปฏิบัติงาน'!L38=DataSet!E88,S38,IF('5-พฤติกรรมการปฏิบัติงาน'!L38=DataSet!E89,R38,IF('5-พฤติกรรมการปฏิบัติงาน'!L38=DataSet!E90,S38,0)))</f>
        <v>0</v>
      </c>
      <c r="W38" s="67"/>
    </row>
    <row r="39" spans="1:26" ht="24" customHeight="1" thickBot="1" x14ac:dyDescent="0.6">
      <c r="A39" s="471" t="s">
        <v>299</v>
      </c>
      <c r="B39" s="362"/>
      <c r="C39" s="362"/>
      <c r="D39" s="362"/>
      <c r="E39" s="362"/>
      <c r="F39" s="362"/>
      <c r="G39" s="362"/>
      <c r="H39" s="451" t="s">
        <v>291</v>
      </c>
      <c r="I39" s="452"/>
      <c r="J39" s="219">
        <f>(SUM(K42:K43)*4)/2</f>
        <v>0</v>
      </c>
      <c r="K39" s="217" t="s">
        <v>20</v>
      </c>
      <c r="L39" s="446" t="s">
        <v>348</v>
      </c>
      <c r="M39" s="447"/>
      <c r="N39" s="225">
        <f>(SUM(O42:O43)*4)/2</f>
        <v>0</v>
      </c>
      <c r="O39" s="226" t="s">
        <v>20</v>
      </c>
      <c r="P39" s="258"/>
      <c r="Q39" s="258"/>
      <c r="T39" s="262"/>
      <c r="V39" s="68"/>
    </row>
    <row r="40" spans="1:26" s="173" customFormat="1" ht="24.75" customHeight="1" x14ac:dyDescent="0.55000000000000004">
      <c r="A40" s="438" t="s">
        <v>153</v>
      </c>
      <c r="B40" s="462" t="s">
        <v>353</v>
      </c>
      <c r="C40" s="462"/>
      <c r="D40" s="462"/>
      <c r="E40" s="462"/>
      <c r="F40" s="462"/>
      <c r="G40" s="462"/>
      <c r="H40" s="465" t="s">
        <v>291</v>
      </c>
      <c r="I40" s="345"/>
      <c r="J40" s="345"/>
      <c r="K40" s="448" t="s">
        <v>20</v>
      </c>
      <c r="L40" s="455" t="s">
        <v>332</v>
      </c>
      <c r="M40" s="455"/>
      <c r="N40" s="455"/>
      <c r="O40" s="466" t="s">
        <v>20</v>
      </c>
      <c r="P40" s="259"/>
      <c r="Q40" s="259"/>
      <c r="R40" s="187"/>
      <c r="S40" s="187"/>
      <c r="T40" s="262"/>
      <c r="U40" s="187"/>
      <c r="V40" s="187"/>
      <c r="W40" s="187"/>
      <c r="X40" s="144"/>
      <c r="Y40" s="144"/>
      <c r="Z40" s="144"/>
    </row>
    <row r="41" spans="1:26" s="173" customFormat="1" ht="24.75" customHeight="1" x14ac:dyDescent="0.55000000000000004">
      <c r="A41" s="478"/>
      <c r="B41" s="477"/>
      <c r="C41" s="477"/>
      <c r="D41" s="477"/>
      <c r="E41" s="477"/>
      <c r="F41" s="477"/>
      <c r="G41" s="477"/>
      <c r="H41" s="174" t="s">
        <v>293</v>
      </c>
      <c r="I41" s="210" t="s">
        <v>294</v>
      </c>
      <c r="J41" s="209" t="s">
        <v>295</v>
      </c>
      <c r="K41" s="449"/>
      <c r="L41" s="456"/>
      <c r="M41" s="456"/>
      <c r="N41" s="456"/>
      <c r="O41" s="475"/>
      <c r="P41" s="259"/>
      <c r="Q41" s="259"/>
      <c r="R41" s="187"/>
      <c r="S41" s="187"/>
      <c r="T41" s="262"/>
      <c r="U41" s="187"/>
      <c r="V41" s="187"/>
      <c r="W41" s="187"/>
      <c r="X41" s="144"/>
      <c r="Y41" s="144"/>
      <c r="Z41" s="144"/>
    </row>
    <row r="42" spans="1:26" s="140" customFormat="1" x14ac:dyDescent="0.55000000000000004">
      <c r="A42" s="60">
        <v>1</v>
      </c>
      <c r="B42" s="453" t="s">
        <v>322</v>
      </c>
      <c r="C42" s="454"/>
      <c r="D42" s="454"/>
      <c r="E42" s="454"/>
      <c r="F42" s="454"/>
      <c r="G42" s="454"/>
      <c r="H42" s="183"/>
      <c r="I42" s="96"/>
      <c r="J42" s="213"/>
      <c r="K42" s="227">
        <f t="shared" ref="K42:K43" si="4">IF(H42=1,1,IF(I42=1,0.5,IF(J42=1,0,0)))</f>
        <v>0</v>
      </c>
      <c r="L42" s="431"/>
      <c r="M42" s="431"/>
      <c r="N42" s="431"/>
      <c r="O42" s="229">
        <f>IF(H42=1,'5-พฤติกรรมการปฏิบัติงาน'!T42,IF(I42=1,'5-พฤติกรรมการปฏิบัติงาน'!U42,IF(J42=1,'5-พฤติกรรมการปฏิบัติงาน'!V42,0)))</f>
        <v>0</v>
      </c>
      <c r="P42" s="263"/>
      <c r="Q42" s="261">
        <v>1</v>
      </c>
      <c r="R42" s="261">
        <v>0.5</v>
      </c>
      <c r="S42" s="68">
        <v>0</v>
      </c>
      <c r="T42" s="262">
        <f>IF('5-พฤติกรรมการปฏิบัติงาน'!L42=DataSet!E88,Q42,IF('5-พฤติกรรมการปฏิบัติงาน'!L42=DataSet!E89,Q42,IF('5-พฤติกรรมการปฏิบัติงาน'!L42=DataSet!E90,R42,0)))</f>
        <v>0</v>
      </c>
      <c r="U42" s="262">
        <f>IF('5-พฤติกรรมการปฏิบัติงาน'!L42=DataSet!E88,R42,IF('5-พฤติกรรมการปฏิบัติงาน'!L42=DataSet!E89,Q42,IF('5-พฤติกรรมการปฏิบัติงาน'!L42=DataSet!E90,S42,0)))</f>
        <v>0</v>
      </c>
      <c r="V42" s="262">
        <f>IF('5-พฤติกรรมการปฏิบัติงาน'!L42=DataSet!E88,S42,IF('5-พฤติกรรมการปฏิบัติงาน'!L42=DataSet!E89,R42,IF('5-พฤติกรรมการปฏิบัติงาน'!L42=DataSet!E90,S42,0)))</f>
        <v>0</v>
      </c>
      <c r="W42" s="67"/>
    </row>
    <row r="43" spans="1:26" s="140" customFormat="1" ht="24.75" thickBot="1" x14ac:dyDescent="0.6">
      <c r="A43" s="61">
        <v>2</v>
      </c>
      <c r="B43" s="479" t="s">
        <v>323</v>
      </c>
      <c r="C43" s="480"/>
      <c r="D43" s="480"/>
      <c r="E43" s="480"/>
      <c r="F43" s="480"/>
      <c r="G43" s="480"/>
      <c r="H43" s="184"/>
      <c r="I43" s="97"/>
      <c r="J43" s="212"/>
      <c r="K43" s="227">
        <f t="shared" si="4"/>
        <v>0</v>
      </c>
      <c r="L43" s="431"/>
      <c r="M43" s="431"/>
      <c r="N43" s="431"/>
      <c r="O43" s="230">
        <f>IF(H43=1,'5-พฤติกรรมการปฏิบัติงาน'!T43,IF(I43=1,'5-พฤติกรรมการปฏิบัติงาน'!U43,IF(J43=1,'5-พฤติกรรมการปฏิบัติงาน'!V43,0)))</f>
        <v>0</v>
      </c>
      <c r="P43" s="263"/>
      <c r="Q43" s="261">
        <v>1</v>
      </c>
      <c r="R43" s="261">
        <v>0.5</v>
      </c>
      <c r="S43" s="68">
        <v>0</v>
      </c>
      <c r="T43" s="262">
        <f>IF('5-พฤติกรรมการปฏิบัติงาน'!L43=DataSet!E88,Q43,IF('5-พฤติกรรมการปฏิบัติงาน'!L43=DataSet!E89,Q43,IF('5-พฤติกรรมการปฏิบัติงาน'!L43=DataSet!E90,R43,0)))</f>
        <v>0</v>
      </c>
      <c r="U43" s="262">
        <f>IF('5-พฤติกรรมการปฏิบัติงาน'!L43=DataSet!E88,R43,IF('5-พฤติกรรมการปฏิบัติงาน'!L43=DataSet!E89,Q43,IF('5-พฤติกรรมการปฏิบัติงาน'!L43=DataSet!E90,S43,0)))</f>
        <v>0</v>
      </c>
      <c r="V43" s="262">
        <f>IF('5-พฤติกรรมการปฏิบัติงาน'!L43=DataSet!E88,S43,IF('5-พฤติกรรมการปฏิบัติงาน'!L43=DataSet!E89,R43,IF('5-พฤติกรรมการปฏิบัติงาน'!L43=DataSet!E90,S43,0)))</f>
        <v>0</v>
      </c>
      <c r="W43" s="67"/>
    </row>
    <row r="44" spans="1:26" ht="24" customHeight="1" thickBot="1" x14ac:dyDescent="0.6">
      <c r="A44" s="471" t="s">
        <v>28</v>
      </c>
      <c r="B44" s="362"/>
      <c r="C44" s="362"/>
      <c r="D44" s="362"/>
      <c r="E44" s="362"/>
      <c r="F44" s="362"/>
      <c r="G44" s="362"/>
      <c r="H44" s="451" t="s">
        <v>291</v>
      </c>
      <c r="I44" s="452"/>
      <c r="J44" s="219">
        <f>(SUM(K47:K50)*3)/4</f>
        <v>0</v>
      </c>
      <c r="K44" s="217" t="s">
        <v>20</v>
      </c>
      <c r="L44" s="446" t="s">
        <v>348</v>
      </c>
      <c r="M44" s="447"/>
      <c r="N44" s="225">
        <f>(SUM(O47:O50)*3)/4</f>
        <v>0</v>
      </c>
      <c r="O44" s="226" t="s">
        <v>20</v>
      </c>
      <c r="P44" s="258"/>
      <c r="Q44" s="258"/>
      <c r="T44" s="262"/>
      <c r="V44" s="68"/>
    </row>
    <row r="45" spans="1:26" s="173" customFormat="1" ht="24.75" customHeight="1" x14ac:dyDescent="0.55000000000000004">
      <c r="A45" s="438" t="s">
        <v>153</v>
      </c>
      <c r="B45" s="461" t="s">
        <v>353</v>
      </c>
      <c r="C45" s="462"/>
      <c r="D45" s="462"/>
      <c r="E45" s="462"/>
      <c r="F45" s="462"/>
      <c r="G45" s="462"/>
      <c r="H45" s="465" t="s">
        <v>291</v>
      </c>
      <c r="I45" s="345"/>
      <c r="J45" s="345"/>
      <c r="K45" s="448" t="s">
        <v>20</v>
      </c>
      <c r="L45" s="455" t="s">
        <v>332</v>
      </c>
      <c r="M45" s="455"/>
      <c r="N45" s="455"/>
      <c r="O45" s="466" t="s">
        <v>20</v>
      </c>
      <c r="P45" s="259"/>
      <c r="Q45" s="259"/>
      <c r="R45" s="187"/>
      <c r="S45" s="187"/>
      <c r="T45" s="262"/>
      <c r="U45" s="187"/>
      <c r="V45" s="187"/>
      <c r="W45" s="187"/>
      <c r="X45" s="144"/>
      <c r="Y45" s="144"/>
      <c r="Z45" s="144"/>
    </row>
    <row r="46" spans="1:26" s="173" customFormat="1" ht="24.75" customHeight="1" x14ac:dyDescent="0.55000000000000004">
      <c r="A46" s="478"/>
      <c r="B46" s="476"/>
      <c r="C46" s="477"/>
      <c r="D46" s="477"/>
      <c r="E46" s="477"/>
      <c r="F46" s="477"/>
      <c r="G46" s="477"/>
      <c r="H46" s="174" t="s">
        <v>293</v>
      </c>
      <c r="I46" s="210" t="s">
        <v>294</v>
      </c>
      <c r="J46" s="209" t="s">
        <v>295</v>
      </c>
      <c r="K46" s="449"/>
      <c r="L46" s="456"/>
      <c r="M46" s="456"/>
      <c r="N46" s="456"/>
      <c r="O46" s="475"/>
      <c r="P46" s="259"/>
      <c r="Q46" s="259"/>
      <c r="R46" s="187"/>
      <c r="S46" s="187"/>
      <c r="T46" s="262"/>
      <c r="U46" s="187"/>
      <c r="V46" s="187"/>
      <c r="W46" s="187"/>
      <c r="X46" s="144"/>
      <c r="Y46" s="144"/>
      <c r="Z46" s="144"/>
    </row>
    <row r="47" spans="1:26" x14ac:dyDescent="0.55000000000000004">
      <c r="A47" s="198">
        <v>1</v>
      </c>
      <c r="B47" s="457" t="s">
        <v>324</v>
      </c>
      <c r="C47" s="457"/>
      <c r="D47" s="457"/>
      <c r="E47" s="457"/>
      <c r="F47" s="457"/>
      <c r="G47" s="458"/>
      <c r="H47" s="183"/>
      <c r="I47" s="96"/>
      <c r="J47" s="213"/>
      <c r="K47" s="227">
        <f t="shared" ref="K47:K50" si="5">IF(H47=1,1,IF(I47=1,0.5,IF(J47=1,0,0)))</f>
        <v>0</v>
      </c>
      <c r="L47" s="431"/>
      <c r="M47" s="431"/>
      <c r="N47" s="431"/>
      <c r="O47" s="229">
        <f>IF(H47=1,'5-พฤติกรรมการปฏิบัติงาน'!T47,IF(I47=1,'5-พฤติกรรมการปฏิบัติงาน'!U47,IF(J47=1,'5-พฤติกรรมการปฏิบัติงาน'!V47,0)))</f>
        <v>0</v>
      </c>
      <c r="P47" s="263"/>
      <c r="Q47" s="261">
        <v>1</v>
      </c>
      <c r="R47" s="261">
        <v>0.5</v>
      </c>
      <c r="S47" s="68">
        <v>0</v>
      </c>
      <c r="T47" s="262">
        <f>IF('5-พฤติกรรมการปฏิบัติงาน'!L47=DataSet!E88,Q47,IF('5-พฤติกรรมการปฏิบัติงาน'!L47=DataSet!E89,Q47,IF('5-พฤติกรรมการปฏิบัติงาน'!L47=DataSet!E90,R47,0)))</f>
        <v>0</v>
      </c>
      <c r="U47" s="262">
        <f>IF('5-พฤติกรรมการปฏิบัติงาน'!L47=DataSet!E88,R47,IF('5-พฤติกรรมการปฏิบัติงาน'!L47=DataSet!E89,Q47,IF('5-พฤติกรรมการปฏิบัติงาน'!L47=DataSet!E90,S47,0)))</f>
        <v>0</v>
      </c>
      <c r="V47" s="262">
        <f>IF('5-พฤติกรรมการปฏิบัติงาน'!L47=DataSet!E88,S47,IF('5-พฤติกรรมการปฏิบัติงาน'!L47=DataSet!E89,R47,IF('5-พฤติกรรมการปฏิบัติงาน'!L47=DataSet!E90,S47,0)))</f>
        <v>0</v>
      </c>
    </row>
    <row r="48" spans="1:26" x14ac:dyDescent="0.55000000000000004">
      <c r="A48" s="198">
        <v>2</v>
      </c>
      <c r="B48" s="457" t="s">
        <v>325</v>
      </c>
      <c r="C48" s="457"/>
      <c r="D48" s="457"/>
      <c r="E48" s="457"/>
      <c r="F48" s="457"/>
      <c r="G48" s="458"/>
      <c r="H48" s="183"/>
      <c r="I48" s="96"/>
      <c r="J48" s="213"/>
      <c r="K48" s="227">
        <f t="shared" si="5"/>
        <v>0</v>
      </c>
      <c r="L48" s="431"/>
      <c r="M48" s="431"/>
      <c r="N48" s="431"/>
      <c r="O48" s="229">
        <f>IF(H48=1,'5-พฤติกรรมการปฏิบัติงาน'!T48,IF(I48=1,'5-พฤติกรรมการปฏิบัติงาน'!U48,IF(J48=1,'5-พฤติกรรมการปฏิบัติงาน'!V48,0)))</f>
        <v>0</v>
      </c>
      <c r="P48" s="263"/>
      <c r="Q48" s="261">
        <v>1</v>
      </c>
      <c r="R48" s="261">
        <v>0.5</v>
      </c>
      <c r="S48" s="68">
        <v>0</v>
      </c>
      <c r="T48" s="262">
        <f>IF('5-พฤติกรรมการปฏิบัติงาน'!L48=DataSet!E88,Q48,IF('5-พฤติกรรมการปฏิบัติงาน'!L48=DataSet!E89,Q48,IF('5-พฤติกรรมการปฏิบัติงาน'!L48=DataSet!E90,R48,0)))</f>
        <v>0</v>
      </c>
      <c r="U48" s="262">
        <f>IF('5-พฤติกรรมการปฏิบัติงาน'!L48=DataSet!E88,R48,IF('5-พฤติกรรมการปฏิบัติงาน'!L48=DataSet!E89,Q48,IF('5-พฤติกรรมการปฏิบัติงาน'!L48=DataSet!E90,S48,0)))</f>
        <v>0</v>
      </c>
      <c r="V48" s="262">
        <f>IF('5-พฤติกรรมการปฏิบัติงาน'!L48=DataSet!E88,S48,IF('5-พฤติกรรมการปฏิบัติงาน'!L48=DataSet!E89,R48,IF('5-พฤติกรรมการปฏิบัติงาน'!L48=DataSet!E90,S48,0)))</f>
        <v>0</v>
      </c>
    </row>
    <row r="49" spans="1:30" x14ac:dyDescent="0.55000000000000004">
      <c r="A49" s="198">
        <v>3</v>
      </c>
      <c r="B49" s="457" t="s">
        <v>326</v>
      </c>
      <c r="C49" s="457"/>
      <c r="D49" s="457"/>
      <c r="E49" s="457"/>
      <c r="F49" s="457"/>
      <c r="G49" s="458"/>
      <c r="H49" s="183"/>
      <c r="I49" s="96"/>
      <c r="J49" s="213"/>
      <c r="K49" s="227">
        <f t="shared" si="5"/>
        <v>0</v>
      </c>
      <c r="L49" s="431"/>
      <c r="M49" s="431"/>
      <c r="N49" s="431"/>
      <c r="O49" s="229">
        <f>IF(H49=1,'5-พฤติกรรมการปฏิบัติงาน'!T49,IF(I49=1,'5-พฤติกรรมการปฏิบัติงาน'!U49,IF(J49=1,'5-พฤติกรรมการปฏิบัติงาน'!V49,0)))</f>
        <v>0</v>
      </c>
      <c r="P49" s="263"/>
      <c r="Q49" s="261">
        <v>1</v>
      </c>
      <c r="R49" s="261">
        <v>0.5</v>
      </c>
      <c r="S49" s="68">
        <v>0</v>
      </c>
      <c r="T49" s="262">
        <f>IF('5-พฤติกรรมการปฏิบัติงาน'!L49=DataSet!E88,Q49,IF('5-พฤติกรรมการปฏิบัติงาน'!L49=DataSet!E89,Q49,IF('5-พฤติกรรมการปฏิบัติงาน'!L49=DataSet!E90,R49,0)))</f>
        <v>0</v>
      </c>
      <c r="U49" s="262">
        <f>IF('5-พฤติกรรมการปฏิบัติงาน'!L49=DataSet!E88,R49,IF('5-พฤติกรรมการปฏิบัติงาน'!L49=DataSet!E89,Q49,IF('5-พฤติกรรมการปฏิบัติงาน'!L49=DataSet!E90,S49,0)))</f>
        <v>0</v>
      </c>
      <c r="V49" s="262">
        <f>IF('5-พฤติกรรมการปฏิบัติงาน'!L49=DataSet!E88,S49,IF('5-พฤติกรรมการปฏิบัติงาน'!L49=DataSet!E89,R49,IF('5-พฤติกรรมการปฏิบัติงาน'!L49=DataSet!E90,S49,0)))</f>
        <v>0</v>
      </c>
    </row>
    <row r="50" spans="1:30" s="140" customFormat="1" ht="24.75" thickBot="1" x14ac:dyDescent="0.6">
      <c r="A50" s="199">
        <v>4</v>
      </c>
      <c r="B50" s="459" t="s">
        <v>327</v>
      </c>
      <c r="C50" s="459"/>
      <c r="D50" s="459"/>
      <c r="E50" s="459"/>
      <c r="F50" s="459"/>
      <c r="G50" s="460"/>
      <c r="H50" s="184"/>
      <c r="I50" s="97"/>
      <c r="J50" s="212"/>
      <c r="K50" s="227">
        <f t="shared" si="5"/>
        <v>0</v>
      </c>
      <c r="L50" s="431"/>
      <c r="M50" s="431"/>
      <c r="N50" s="431"/>
      <c r="O50" s="230">
        <f>IF(H50=1,'5-พฤติกรรมการปฏิบัติงาน'!T50,IF(I50=1,'5-พฤติกรรมการปฏิบัติงาน'!U50,IF(J50=1,'5-พฤติกรรมการปฏิบัติงาน'!V50,0)))</f>
        <v>0</v>
      </c>
      <c r="P50" s="263"/>
      <c r="Q50" s="261">
        <v>1</v>
      </c>
      <c r="R50" s="261">
        <v>0.5</v>
      </c>
      <c r="S50" s="68">
        <v>0</v>
      </c>
      <c r="T50" s="262">
        <f>IF('5-พฤติกรรมการปฏิบัติงาน'!L50=DataSet!E88,Q50,IF('5-พฤติกรรมการปฏิบัติงาน'!L50=DataSet!E89,Q50,IF('5-พฤติกรรมการปฏิบัติงาน'!L50=DataSet!E90,R50,0)))</f>
        <v>0</v>
      </c>
      <c r="U50" s="262">
        <f>IF('5-พฤติกรรมการปฏิบัติงาน'!L50=DataSet!E88,R50,IF('5-พฤติกรรมการปฏิบัติงาน'!L50=DataSet!E89,Q50,IF('5-พฤติกรรมการปฏิบัติงาน'!L50=DataSet!E90,S50,0)))</f>
        <v>0</v>
      </c>
      <c r="V50" s="262">
        <f>IF('5-พฤติกรรมการปฏิบัติงาน'!L50=DataSet!E88,S50,IF('5-พฤติกรรมการปฏิบัติงาน'!L50=DataSet!E89,R50,IF('5-พฤติกรรมการปฏิบัติงาน'!L50=DataSet!E90,S50,0)))</f>
        <v>0</v>
      </c>
      <c r="W50" s="67"/>
    </row>
    <row r="51" spans="1:30" ht="24" customHeight="1" thickBot="1" x14ac:dyDescent="0.6">
      <c r="A51" s="471" t="s">
        <v>298</v>
      </c>
      <c r="B51" s="362"/>
      <c r="C51" s="362"/>
      <c r="D51" s="362"/>
      <c r="E51" s="362"/>
      <c r="F51" s="362"/>
      <c r="G51" s="362"/>
      <c r="H51" s="451" t="s">
        <v>291</v>
      </c>
      <c r="I51" s="452"/>
      <c r="J51" s="219">
        <f>(SUM(K54:K58)*4)/5</f>
        <v>0</v>
      </c>
      <c r="K51" s="217" t="s">
        <v>20</v>
      </c>
      <c r="L51" s="446" t="s">
        <v>348</v>
      </c>
      <c r="M51" s="447"/>
      <c r="N51" s="225">
        <f>(SUM(O54:O58)*4)/5</f>
        <v>0</v>
      </c>
      <c r="O51" s="226" t="s">
        <v>20</v>
      </c>
      <c r="P51" s="258"/>
      <c r="Q51" s="261"/>
      <c r="R51" s="261"/>
      <c r="T51" s="262"/>
      <c r="U51" s="262"/>
      <c r="V51" s="68"/>
    </row>
    <row r="52" spans="1:30" s="173" customFormat="1" ht="24.75" customHeight="1" x14ac:dyDescent="0.55000000000000004">
      <c r="A52" s="438" t="s">
        <v>153</v>
      </c>
      <c r="B52" s="461" t="s">
        <v>353</v>
      </c>
      <c r="C52" s="462"/>
      <c r="D52" s="462"/>
      <c r="E52" s="462"/>
      <c r="F52" s="462"/>
      <c r="G52" s="472"/>
      <c r="H52" s="465" t="s">
        <v>291</v>
      </c>
      <c r="I52" s="345"/>
      <c r="J52" s="345"/>
      <c r="K52" s="448" t="s">
        <v>20</v>
      </c>
      <c r="L52" s="455" t="s">
        <v>332</v>
      </c>
      <c r="M52" s="455"/>
      <c r="N52" s="455"/>
      <c r="O52" s="466" t="s">
        <v>20</v>
      </c>
      <c r="P52" s="259"/>
      <c r="Q52" s="261"/>
      <c r="R52" s="261"/>
      <c r="S52" s="68"/>
      <c r="T52" s="262"/>
      <c r="U52" s="262"/>
      <c r="V52" s="68"/>
      <c r="W52" s="187"/>
      <c r="X52" s="144"/>
      <c r="Y52" s="144"/>
      <c r="Z52" s="144"/>
    </row>
    <row r="53" spans="1:30" s="173" customFormat="1" ht="24.75" customHeight="1" thickBot="1" x14ac:dyDescent="0.6">
      <c r="A53" s="439"/>
      <c r="B53" s="463"/>
      <c r="C53" s="464"/>
      <c r="D53" s="464"/>
      <c r="E53" s="464"/>
      <c r="F53" s="464"/>
      <c r="G53" s="473"/>
      <c r="H53" s="243" t="s">
        <v>293</v>
      </c>
      <c r="I53" s="244" t="s">
        <v>294</v>
      </c>
      <c r="J53" s="245" t="s">
        <v>295</v>
      </c>
      <c r="K53" s="450"/>
      <c r="L53" s="468"/>
      <c r="M53" s="468"/>
      <c r="N53" s="468"/>
      <c r="O53" s="467"/>
      <c r="P53" s="259"/>
      <c r="Q53" s="261"/>
      <c r="R53" s="261"/>
      <c r="S53" s="68"/>
      <c r="T53" s="262"/>
      <c r="U53" s="262"/>
      <c r="V53" s="68"/>
      <c r="W53" s="187"/>
      <c r="X53" s="144"/>
      <c r="Y53" s="144"/>
      <c r="Z53" s="144"/>
    </row>
    <row r="54" spans="1:30" s="240" customFormat="1" ht="24.75" customHeight="1" x14ac:dyDescent="0.55000000000000004">
      <c r="A54" s="242">
        <v>1</v>
      </c>
      <c r="B54" s="432" t="s">
        <v>328</v>
      </c>
      <c r="C54" s="432"/>
      <c r="D54" s="432"/>
      <c r="E54" s="432"/>
      <c r="F54" s="432"/>
      <c r="G54" s="433"/>
      <c r="H54" s="556"/>
      <c r="I54" s="557"/>
      <c r="J54" s="557"/>
      <c r="K54" s="227">
        <f>IF(H54=1,1,IF(I54=1,0.5,IF(J54=1,0,0)))</f>
        <v>0</v>
      </c>
      <c r="L54" s="431"/>
      <c r="M54" s="431"/>
      <c r="N54" s="431"/>
      <c r="O54" s="247"/>
      <c r="P54" s="259"/>
      <c r="Q54" s="261">
        <v>1</v>
      </c>
      <c r="R54" s="261">
        <v>0.5</v>
      </c>
      <c r="S54" s="68">
        <v>0</v>
      </c>
      <c r="T54" s="262">
        <f>IF('5-พฤติกรรมการปฏิบัติงาน'!L54=DataSet!E88,Q54,IF('5-พฤติกรรมการปฏิบัติงาน'!L54=DataSet!E89,Q54,IF('5-พฤติกรรมการปฏิบัติงาน'!L54=DataSet!E90,R54,0)))</f>
        <v>0</v>
      </c>
      <c r="U54" s="262">
        <f>IF('5-พฤติกรรมการปฏิบัติงาน'!L54=DataSet!E88,R54,IF('5-พฤติกรรมการปฏิบัติงาน'!L54=DataSet!E89,Q54,IF('5-พฤติกรรมการปฏิบัติงาน'!L54=DataSet!E90,S54,0)))</f>
        <v>0</v>
      </c>
      <c r="V54" s="262">
        <f>IF('5-พฤติกรรมการปฏิบัติงาน'!L54=DataSet!E88,S54,IF('5-พฤติกรรมการปฏิบัติงาน'!L54=DataSet!E89,R54,IF('5-พฤติกรรมการปฏิบัติงาน'!L54=DataSet!E90,S54,0)))</f>
        <v>0</v>
      </c>
      <c r="W54" s="187"/>
      <c r="X54" s="144"/>
      <c r="Y54" s="144"/>
      <c r="Z54" s="144"/>
    </row>
    <row r="55" spans="1:30" s="240" customFormat="1" ht="24.75" customHeight="1" x14ac:dyDescent="0.55000000000000004">
      <c r="A55" s="246">
        <v>2</v>
      </c>
      <c r="B55" s="434" t="s">
        <v>359</v>
      </c>
      <c r="C55" s="434"/>
      <c r="D55" s="434"/>
      <c r="E55" s="434"/>
      <c r="F55" s="434"/>
      <c r="G55" s="435"/>
      <c r="H55" s="558"/>
      <c r="I55" s="559"/>
      <c r="J55" s="559"/>
      <c r="K55" s="227">
        <f>IF(H55=1,1,IF(I55=1,0.5,IF(J55=1,0,0)))</f>
        <v>0</v>
      </c>
      <c r="L55" s="431"/>
      <c r="M55" s="431"/>
      <c r="N55" s="431"/>
      <c r="O55" s="229"/>
      <c r="P55" s="259"/>
      <c r="Q55" s="261">
        <v>1</v>
      </c>
      <c r="R55" s="261">
        <v>0.5</v>
      </c>
      <c r="S55" s="68">
        <v>0</v>
      </c>
      <c r="T55" s="262">
        <f>IF('5-พฤติกรรมการปฏิบัติงาน'!L55=DataSet!E88,Q55,IF('5-พฤติกรรมการปฏิบัติงาน'!L55=DataSet!E89,Q55,IF('5-พฤติกรรมการปฏิบัติงาน'!L55=DataSet!E90,R55,0)))</f>
        <v>0</v>
      </c>
      <c r="U55" s="262">
        <f>IF('5-พฤติกรรมการปฏิบัติงาน'!L55=DataSet!E88,R55,IF('5-พฤติกรรมการปฏิบัติงาน'!L55=DataSet!E89,Q55,IF('5-พฤติกรรมการปฏิบัติงาน'!L55=DataSet!E90,S55,0)))</f>
        <v>0</v>
      </c>
      <c r="V55" s="262">
        <f>IF('5-พฤติกรรมการปฏิบัติงาน'!L55=DataSet!E88,S55,IF('5-พฤติกรรมการปฏิบัติงาน'!L55=DataSet!E89,R55,IF('5-พฤติกรรมการปฏิบัติงาน'!L55=DataSet!E90,S55,0)))</f>
        <v>0</v>
      </c>
      <c r="W55" s="187"/>
      <c r="X55" s="144"/>
      <c r="Y55" s="144"/>
      <c r="Z55" s="144"/>
    </row>
    <row r="56" spans="1:30" s="240" customFormat="1" ht="24.75" customHeight="1" x14ac:dyDescent="0.55000000000000004">
      <c r="A56" s="246">
        <v>3</v>
      </c>
      <c r="B56" s="434" t="s">
        <v>360</v>
      </c>
      <c r="C56" s="434"/>
      <c r="D56" s="434"/>
      <c r="E56" s="434"/>
      <c r="F56" s="434"/>
      <c r="G56" s="435"/>
      <c r="H56" s="560"/>
      <c r="I56" s="559"/>
      <c r="J56" s="559"/>
      <c r="K56" s="227">
        <f>IF(H56=1,1,IF(I56=1,0.5,IF(J56=1,0,0)))</f>
        <v>0</v>
      </c>
      <c r="L56" s="431"/>
      <c r="M56" s="431"/>
      <c r="N56" s="431"/>
      <c r="O56" s="248"/>
      <c r="P56" s="259"/>
      <c r="Q56" s="261">
        <v>1</v>
      </c>
      <c r="R56" s="261">
        <v>0.5</v>
      </c>
      <c r="S56" s="68">
        <v>0</v>
      </c>
      <c r="T56" s="262">
        <f>IF('5-พฤติกรรมการปฏิบัติงาน'!L56=DataSet!E88,Q56,IF('5-พฤติกรรมการปฏิบัติงาน'!L56=DataSet!E89,Q56,IF('5-พฤติกรรมการปฏิบัติงาน'!L56=DataSet!E90,R56,0)))</f>
        <v>0</v>
      </c>
      <c r="U56" s="262">
        <f>IF('5-พฤติกรรมการปฏิบัติงาน'!L56=DataSet!E88,R56,IF('5-พฤติกรรมการปฏิบัติงาน'!L56=DataSet!E89,Q56,IF('5-พฤติกรรมการปฏิบัติงาน'!L56=DataSet!E90,S56,0)))</f>
        <v>0</v>
      </c>
      <c r="V56" s="262">
        <f>IF('5-พฤติกรรมการปฏิบัติงาน'!L56=DataSet!E88,S56,IF('5-พฤติกรรมการปฏิบัติงาน'!L56=DataSet!E89,R56,IF('5-พฤติกรรมการปฏิบัติงาน'!L56=DataSet!E90,S56,0)))</f>
        <v>0</v>
      </c>
      <c r="W56" s="187"/>
      <c r="X56" s="144"/>
      <c r="Y56" s="144"/>
      <c r="Z56" s="144"/>
    </row>
    <row r="57" spans="1:30" s="240" customFormat="1" ht="24.75" customHeight="1" x14ac:dyDescent="0.55000000000000004">
      <c r="A57" s="242">
        <v>4</v>
      </c>
      <c r="B57" s="432" t="s">
        <v>361</v>
      </c>
      <c r="C57" s="432"/>
      <c r="D57" s="432"/>
      <c r="E57" s="432"/>
      <c r="F57" s="432"/>
      <c r="G57" s="433"/>
      <c r="H57" s="558"/>
      <c r="I57" s="559"/>
      <c r="J57" s="559"/>
      <c r="K57" s="227">
        <f>IF(H57=1,1,IF(I57=1,0.5,IF(J57=1,0,0)))</f>
        <v>0</v>
      </c>
      <c r="L57" s="431"/>
      <c r="M57" s="431"/>
      <c r="N57" s="431"/>
      <c r="O57" s="249"/>
      <c r="P57" s="259"/>
      <c r="Q57" s="261">
        <v>1</v>
      </c>
      <c r="R57" s="261">
        <v>0.5</v>
      </c>
      <c r="S57" s="68">
        <v>0</v>
      </c>
      <c r="T57" s="262">
        <f>IF('5-พฤติกรรมการปฏิบัติงาน'!L57=DataSet!E88,Q57,IF('5-พฤติกรรมการปฏิบัติงาน'!L57=DataSet!E89,Q57,IF('5-พฤติกรรมการปฏิบัติงาน'!L57=DataSet!E90,R57,0)))</f>
        <v>0</v>
      </c>
      <c r="U57" s="262">
        <f>IF('5-พฤติกรรมการปฏิบัติงาน'!L57=DataSet!E88,R57,IF('5-พฤติกรรมการปฏิบัติงาน'!L57=DataSet!E89,Q57,IF('5-พฤติกรรมการปฏิบัติงาน'!L57=DataSet!E90,S57,0)))</f>
        <v>0</v>
      </c>
      <c r="V57" s="262">
        <f>IF('5-พฤติกรรมการปฏิบัติงาน'!L57=DataSet!E88,S57,IF('5-พฤติกรรมการปฏิบัติงาน'!L57=DataSet!E89,R57,IF('5-พฤติกรรมการปฏิบัติงาน'!L57=DataSet!E90,S57,0)))</f>
        <v>0</v>
      </c>
      <c r="W57" s="187"/>
      <c r="X57" s="144"/>
      <c r="Y57" s="144"/>
      <c r="Z57" s="144"/>
    </row>
    <row r="58" spans="1:30" ht="24.75" thickBot="1" x14ac:dyDescent="0.6">
      <c r="A58" s="199">
        <v>5</v>
      </c>
      <c r="B58" s="469" t="s">
        <v>362</v>
      </c>
      <c r="C58" s="469"/>
      <c r="D58" s="469"/>
      <c r="E58" s="469"/>
      <c r="F58" s="469"/>
      <c r="G58" s="470"/>
      <c r="H58" s="184"/>
      <c r="I58" s="97"/>
      <c r="J58" s="97"/>
      <c r="K58" s="227">
        <f>IF(H58=1,1,IF(I58=1,0.5,IF(J58=1,0,0)))</f>
        <v>0</v>
      </c>
      <c r="L58" s="431"/>
      <c r="M58" s="431"/>
      <c r="N58" s="431"/>
      <c r="O58" s="230"/>
      <c r="P58" s="263"/>
      <c r="Q58" s="261">
        <v>1</v>
      </c>
      <c r="R58" s="261">
        <v>0.5</v>
      </c>
      <c r="S58" s="68">
        <v>0</v>
      </c>
      <c r="T58" s="262">
        <f>IF('5-พฤติกรรมการปฏิบัติงาน'!L58=DataSet!E88,Q58,IF('5-พฤติกรรมการปฏิบัติงาน'!L58=DataSet!E89,Q58,IF('5-พฤติกรรมการปฏิบัติงาน'!L58=DataSet!E90,R58,0)))</f>
        <v>0</v>
      </c>
      <c r="U58" s="262">
        <f>IF('5-พฤติกรรมการปฏิบัติงาน'!L58=DataSet!E88,R58,IF('5-พฤติกรรมการปฏิบัติงาน'!L58=DataSet!E89,Q58,IF('5-พฤติกรรมการปฏิบัติงาน'!L58=DataSet!E90,S58,0)))</f>
        <v>0</v>
      </c>
      <c r="V58" s="262">
        <f>IF('5-พฤติกรรมการปฏิบัติงาน'!L58=DataSet!E88,S58,IF('5-พฤติกรรมการปฏิบัติงาน'!L58=DataSet!E89,R58,IF('5-พฤติกรรมการปฏิบัติงาน'!L58=DataSet!E90,S58,0)))</f>
        <v>0</v>
      </c>
    </row>
    <row r="59" spans="1:30" ht="24" customHeight="1" thickBot="1" x14ac:dyDescent="0.6">
      <c r="A59" s="471" t="s">
        <v>297</v>
      </c>
      <c r="B59" s="362"/>
      <c r="C59" s="362"/>
      <c r="D59" s="362"/>
      <c r="E59" s="362"/>
      <c r="F59" s="362"/>
      <c r="G59" s="362"/>
      <c r="H59" s="451" t="s">
        <v>291</v>
      </c>
      <c r="I59" s="452"/>
      <c r="J59" s="219">
        <f>(SUM(K64)*3)/1</f>
        <v>0</v>
      </c>
      <c r="K59" s="217" t="s">
        <v>20</v>
      </c>
      <c r="L59" s="446" t="s">
        <v>348</v>
      </c>
      <c r="M59" s="447"/>
      <c r="N59" s="225">
        <f>(SUM(O64)*3)/1</f>
        <v>0</v>
      </c>
      <c r="O59" s="226" t="s">
        <v>20</v>
      </c>
      <c r="P59" s="258"/>
      <c r="Q59" s="258"/>
      <c r="T59" s="262"/>
      <c r="V59" s="68"/>
    </row>
    <row r="60" spans="1:30" s="173" customFormat="1" ht="24.75" customHeight="1" x14ac:dyDescent="0.55000000000000004">
      <c r="A60" s="438" t="s">
        <v>153</v>
      </c>
      <c r="B60" s="461" t="s">
        <v>353</v>
      </c>
      <c r="C60" s="462"/>
      <c r="D60" s="462"/>
      <c r="E60" s="462"/>
      <c r="F60" s="462"/>
      <c r="G60" s="462"/>
      <c r="H60" s="465" t="s">
        <v>291</v>
      </c>
      <c r="I60" s="345"/>
      <c r="J60" s="345"/>
      <c r="K60" s="448" t="s">
        <v>20</v>
      </c>
      <c r="L60" s="455" t="s">
        <v>332</v>
      </c>
      <c r="M60" s="455"/>
      <c r="N60" s="455"/>
      <c r="O60" s="466" t="s">
        <v>20</v>
      </c>
      <c r="P60" s="259"/>
      <c r="Q60" s="259"/>
      <c r="R60" s="187"/>
      <c r="S60" s="187"/>
      <c r="T60" s="262"/>
      <c r="U60" s="187"/>
      <c r="V60" s="187"/>
      <c r="W60" s="187"/>
      <c r="X60" s="144"/>
      <c r="Y60" s="144"/>
      <c r="Z60" s="144"/>
    </row>
    <row r="61" spans="1:30" s="173" customFormat="1" ht="24.75" customHeight="1" thickBot="1" x14ac:dyDescent="0.6">
      <c r="A61" s="439"/>
      <c r="B61" s="463"/>
      <c r="C61" s="464"/>
      <c r="D61" s="464"/>
      <c r="E61" s="464"/>
      <c r="F61" s="464"/>
      <c r="G61" s="464"/>
      <c r="H61" s="243" t="s">
        <v>293</v>
      </c>
      <c r="I61" s="244" t="s">
        <v>294</v>
      </c>
      <c r="J61" s="245" t="s">
        <v>295</v>
      </c>
      <c r="K61" s="450"/>
      <c r="L61" s="468"/>
      <c r="M61" s="468"/>
      <c r="N61" s="468"/>
      <c r="O61" s="467"/>
      <c r="P61" s="259"/>
      <c r="Q61" s="259"/>
      <c r="R61" s="187"/>
      <c r="S61" s="187"/>
      <c r="T61" s="262"/>
      <c r="U61" s="187"/>
      <c r="V61" s="187"/>
      <c r="W61" s="187"/>
      <c r="X61" s="144"/>
      <c r="Y61" s="144"/>
      <c r="Z61" s="144"/>
    </row>
    <row r="62" spans="1:30" s="240" customFormat="1" ht="24.75" customHeight="1" x14ac:dyDescent="0.55000000000000004">
      <c r="A62" s="250">
        <v>1</v>
      </c>
      <c r="B62" s="436" t="s">
        <v>329</v>
      </c>
      <c r="C62" s="436"/>
      <c r="D62" s="436"/>
      <c r="E62" s="436"/>
      <c r="F62" s="436"/>
      <c r="G62" s="437"/>
      <c r="H62" s="561"/>
      <c r="I62" s="557"/>
      <c r="J62" s="562"/>
      <c r="K62" s="227">
        <f t="shared" ref="K62:K64" si="6">IF(H62=1,1,IF(I62=1,0.5,IF(J62=1,0,0)))</f>
        <v>0</v>
      </c>
      <c r="L62" s="431"/>
      <c r="M62" s="431"/>
      <c r="N62" s="431"/>
      <c r="O62" s="264">
        <f>IF(H62=1,'5-พฤติกรรมการปฏิบัติงาน'!T62,IF(I62=1,'5-พฤติกรรมการปฏิบัติงาน'!U62,IF(J62=1,'5-พฤติกรรมการปฏิบัติงาน'!V62,0)))</f>
        <v>0</v>
      </c>
      <c r="P62" s="259"/>
      <c r="Q62" s="261">
        <v>1</v>
      </c>
      <c r="R62" s="261">
        <v>0.5</v>
      </c>
      <c r="S62" s="68">
        <v>0</v>
      </c>
      <c r="T62" s="262">
        <f>IF('5-พฤติกรรมการปฏิบัติงาน'!L62=DataSet!E88,Q62,IF('5-พฤติกรรมการปฏิบัติงาน'!L62=DataSet!E89,Q62,IF('5-พฤติกรรมการปฏิบัติงาน'!L62=DataSet!E90,R62,0)))</f>
        <v>0</v>
      </c>
      <c r="U62" s="262">
        <f>IF('5-พฤติกรรมการปฏิบัติงาน'!L62=DataSet!E88,R62,IF('5-พฤติกรรมการปฏิบัติงาน'!L62=DataSet!E89,Q62,IF('5-พฤติกรรมการปฏิบัติงาน'!L62=DataSet!E90,S62,0)))</f>
        <v>0</v>
      </c>
      <c r="V62" s="262">
        <f>IF('5-พฤติกรรมการปฏิบัติงาน'!L62=DataSet!E88,S62,IF('5-พฤติกรรมการปฏิบัติงาน'!L62=DataSet!E89,R62,IF('5-พฤติกรรมการปฏิบัติงาน'!L62=DataSet!E90,S62,0)))</f>
        <v>0</v>
      </c>
      <c r="W62" s="187"/>
      <c r="X62" s="144"/>
      <c r="Y62" s="144"/>
      <c r="Z62" s="144"/>
      <c r="AD62" s="265"/>
    </row>
    <row r="63" spans="1:30" s="240" customFormat="1" ht="24.75" customHeight="1" x14ac:dyDescent="0.55000000000000004">
      <c r="A63" s="253">
        <v>2</v>
      </c>
      <c r="B63" s="428" t="s">
        <v>363</v>
      </c>
      <c r="C63" s="429"/>
      <c r="D63" s="429"/>
      <c r="E63" s="429"/>
      <c r="F63" s="429"/>
      <c r="G63" s="430"/>
      <c r="H63" s="558"/>
      <c r="I63" s="559"/>
      <c r="J63" s="563"/>
      <c r="K63" s="227">
        <f t="shared" si="6"/>
        <v>0</v>
      </c>
      <c r="L63" s="431"/>
      <c r="M63" s="431"/>
      <c r="N63" s="431"/>
      <c r="O63" s="252">
        <f>IF(H63=1,'5-พฤติกรรมการปฏิบัติงาน'!T63,IF(I63=1,'5-พฤติกรรมการปฏิบัติงาน'!U63,IF(J63=1,'5-พฤติกรรมการปฏิบัติงาน'!V63,0)))</f>
        <v>0</v>
      </c>
      <c r="P63" s="259"/>
      <c r="Q63" s="261">
        <v>1</v>
      </c>
      <c r="R63" s="261">
        <v>0.5</v>
      </c>
      <c r="S63" s="68">
        <v>0</v>
      </c>
      <c r="T63" s="262">
        <f>IF('5-พฤติกรรมการปฏิบัติงาน'!L63=DataSet!E88,Q63,IF('5-พฤติกรรมการปฏิบัติงาน'!L63=DataSet!E89,Q63,IF('5-พฤติกรรมการปฏิบัติงาน'!L63=DataSet!E90,R63,0)))</f>
        <v>0</v>
      </c>
      <c r="U63" s="262">
        <f>IF('5-พฤติกรรมการปฏิบัติงาน'!L63=DataSet!E88,R63,IF('5-พฤติกรรมการปฏิบัติงาน'!L63=DataSet!E89,Q63,IF('5-พฤติกรรมการปฏิบัติงาน'!L63=DataSet!E90,S63,0)))</f>
        <v>0</v>
      </c>
      <c r="V63" s="262">
        <f>IF('5-พฤติกรรมการปฏิบัติงาน'!L63=DataSet!E88,S63,IF('5-พฤติกรรมการปฏิบัติงาน'!L63=DataSet!E89,R63,IF('5-พฤติกรรมการปฏิบัติงาน'!L63=DataSet!E90,S63,0)))</f>
        <v>0</v>
      </c>
      <c r="W63" s="187"/>
      <c r="X63" s="144"/>
      <c r="Y63" s="144"/>
      <c r="Z63" s="144"/>
      <c r="AD63" s="265"/>
    </row>
    <row r="64" spans="1:30" ht="24.75" thickBot="1" x14ac:dyDescent="0.6">
      <c r="A64" s="199">
        <v>3</v>
      </c>
      <c r="B64" s="469" t="s">
        <v>364</v>
      </c>
      <c r="C64" s="469"/>
      <c r="D64" s="469"/>
      <c r="E64" s="469"/>
      <c r="F64" s="469"/>
      <c r="G64" s="474"/>
      <c r="H64" s="184"/>
      <c r="I64" s="97"/>
      <c r="J64" s="212"/>
      <c r="K64" s="227">
        <f t="shared" si="6"/>
        <v>0</v>
      </c>
      <c r="L64" s="431"/>
      <c r="M64" s="431"/>
      <c r="N64" s="431"/>
      <c r="O64" s="230">
        <f>IF(H64=1,'5-พฤติกรรมการปฏิบัติงาน'!T64,IF(I64=1,'5-พฤติกรรมการปฏิบัติงาน'!U64,IF(J64=1,'5-พฤติกรรมการปฏิบัติงาน'!V64,0)))</f>
        <v>0</v>
      </c>
      <c r="P64" s="263"/>
      <c r="Q64" s="261">
        <v>1</v>
      </c>
      <c r="R64" s="261">
        <v>0.5</v>
      </c>
      <c r="S64" s="68">
        <v>0</v>
      </c>
      <c r="T64" s="262">
        <f>IF('5-พฤติกรรมการปฏิบัติงาน'!L64=DataSet!E88,Q64,IF('5-พฤติกรรมการปฏิบัติงาน'!L64=DataSet!E89,Q64,IF('5-พฤติกรรมการปฏิบัติงาน'!L64=DataSet!E90,R64,0)))</f>
        <v>0</v>
      </c>
      <c r="U64" s="262">
        <f>IF('5-พฤติกรรมการปฏิบัติงาน'!L64=DataSet!E88,R64,IF('5-พฤติกรรมการปฏิบัติงาน'!L64=DataSet!E89,Q64,IF('5-พฤติกรรมการปฏิบัติงาน'!L64=DataSet!E90,S64,0)))</f>
        <v>0</v>
      </c>
      <c r="V64" s="262">
        <f>IF('5-พฤติกรรมการปฏิบัติงาน'!L64=DataSet!E88,S64,IF('5-พฤติกรรมการปฏิบัติงาน'!L64=DataSet!E89,R64,IF('5-พฤติกรรมการปฏิบัติงาน'!L64=DataSet!E90,S64,0)))</f>
        <v>0</v>
      </c>
    </row>
    <row r="65" spans="1:26" ht="24" customHeight="1" thickBot="1" x14ac:dyDescent="0.6">
      <c r="A65" s="471" t="s">
        <v>296</v>
      </c>
      <c r="B65" s="362"/>
      <c r="C65" s="362"/>
      <c r="D65" s="362"/>
      <c r="E65" s="362"/>
      <c r="F65" s="362"/>
      <c r="G65" s="362"/>
      <c r="H65" s="451" t="s">
        <v>291</v>
      </c>
      <c r="I65" s="452"/>
      <c r="J65" s="219">
        <f>(SUM(K68:K69)*3)/2</f>
        <v>0</v>
      </c>
      <c r="K65" s="217" t="s">
        <v>20</v>
      </c>
      <c r="L65" s="446" t="s">
        <v>348</v>
      </c>
      <c r="M65" s="447"/>
      <c r="N65" s="225">
        <f>(SUM(O68:O69)*3)/2</f>
        <v>0</v>
      </c>
      <c r="O65" s="251" t="s">
        <v>20</v>
      </c>
      <c r="P65" s="258"/>
      <c r="Q65" s="258"/>
      <c r="T65" s="262"/>
      <c r="V65" s="68"/>
    </row>
    <row r="66" spans="1:26" s="173" customFormat="1" ht="24.75" customHeight="1" x14ac:dyDescent="0.55000000000000004">
      <c r="A66" s="438" t="s">
        <v>153</v>
      </c>
      <c r="B66" s="461" t="s">
        <v>353</v>
      </c>
      <c r="C66" s="462"/>
      <c r="D66" s="462"/>
      <c r="E66" s="462"/>
      <c r="F66" s="462"/>
      <c r="G66" s="472"/>
      <c r="H66" s="465" t="s">
        <v>291</v>
      </c>
      <c r="I66" s="345"/>
      <c r="J66" s="345"/>
      <c r="K66" s="448" t="s">
        <v>20</v>
      </c>
      <c r="L66" s="455" t="s">
        <v>332</v>
      </c>
      <c r="M66" s="455"/>
      <c r="N66" s="455"/>
      <c r="O66" s="466" t="s">
        <v>20</v>
      </c>
      <c r="P66" s="259"/>
      <c r="Q66" s="259"/>
      <c r="R66" s="187"/>
      <c r="S66" s="187"/>
      <c r="T66" s="262"/>
      <c r="U66" s="187"/>
      <c r="V66" s="187"/>
      <c r="W66" s="187"/>
      <c r="X66" s="144"/>
      <c r="Y66" s="144"/>
      <c r="Z66" s="144"/>
    </row>
    <row r="67" spans="1:26" s="173" customFormat="1" ht="24.75" customHeight="1" thickBot="1" x14ac:dyDescent="0.6">
      <c r="A67" s="439"/>
      <c r="B67" s="463"/>
      <c r="C67" s="464"/>
      <c r="D67" s="464"/>
      <c r="E67" s="464"/>
      <c r="F67" s="464"/>
      <c r="G67" s="473"/>
      <c r="H67" s="243" t="s">
        <v>293</v>
      </c>
      <c r="I67" s="244" t="s">
        <v>294</v>
      </c>
      <c r="J67" s="245" t="s">
        <v>295</v>
      </c>
      <c r="K67" s="450"/>
      <c r="L67" s="468"/>
      <c r="M67" s="468"/>
      <c r="N67" s="468"/>
      <c r="O67" s="467"/>
      <c r="P67" s="259"/>
      <c r="Q67" s="259"/>
      <c r="R67" s="187"/>
      <c r="S67" s="187"/>
      <c r="T67" s="262"/>
      <c r="U67" s="187"/>
      <c r="V67" s="187"/>
      <c r="W67" s="187"/>
      <c r="X67" s="144"/>
      <c r="Y67" s="144"/>
      <c r="Z67" s="144"/>
    </row>
    <row r="68" spans="1:26" x14ac:dyDescent="0.55000000000000004">
      <c r="A68" s="250">
        <v>1</v>
      </c>
      <c r="B68" s="442" t="s">
        <v>330</v>
      </c>
      <c r="C68" s="442"/>
      <c r="D68" s="442"/>
      <c r="E68" s="442"/>
      <c r="F68" s="442"/>
      <c r="G68" s="443"/>
      <c r="H68" s="268"/>
      <c r="I68" s="103"/>
      <c r="J68" s="269"/>
      <c r="K68" s="266">
        <f t="shared" ref="K68:K69" si="7">IF(H68=1,1,IF(I68=1,0.5,IF(J68=1,0,0)))</f>
        <v>0</v>
      </c>
      <c r="L68" s="440"/>
      <c r="M68" s="440"/>
      <c r="N68" s="440"/>
      <c r="O68" s="267">
        <f>IF(H68=1,'5-พฤติกรรมการปฏิบัติงาน'!T68,IF(I68=1,'5-พฤติกรรมการปฏิบัติงาน'!U68,IF(J68=1,'5-พฤติกรรมการปฏิบัติงาน'!V68,0)))</f>
        <v>0</v>
      </c>
      <c r="P68" s="263"/>
      <c r="Q68" s="261">
        <v>1</v>
      </c>
      <c r="R68" s="261">
        <v>0.5</v>
      </c>
      <c r="S68" s="68">
        <v>0</v>
      </c>
      <c r="T68" s="262">
        <f>IF('5-พฤติกรรมการปฏิบัติงาน'!L68=DataSet!E88,Q68,IF('5-พฤติกรรมการปฏิบัติงาน'!L68=DataSet!E89,Q68,IF('5-พฤติกรรมการปฏิบัติงาน'!L68=DataSet!E90,R68,0)))</f>
        <v>0</v>
      </c>
      <c r="U68" s="262">
        <f>IF('5-พฤติกรรมการปฏิบัติงาน'!L68=DataSet!E88,R68,IF('5-พฤติกรรมการปฏิบัติงาน'!L68=DataSet!E89,Q68,IF('5-พฤติกรรมการปฏิบัติงาน'!L68=DataSet!E90,S68,0)))</f>
        <v>0</v>
      </c>
      <c r="V68" s="262">
        <f>IF('5-พฤติกรรมการปฏิบัติงาน'!L68=DataSet!E88,S68,IF('5-พฤติกรรมการปฏิบัติงาน'!L68=DataSet!E89,R68,IF('5-พฤติกรรมการปฏิบัติงาน'!L68=DataSet!E90,S68,0)))</f>
        <v>0</v>
      </c>
    </row>
    <row r="69" spans="1:26" ht="24.75" thickBot="1" x14ac:dyDescent="0.6">
      <c r="A69" s="199">
        <v>2</v>
      </c>
      <c r="B69" s="444" t="s">
        <v>331</v>
      </c>
      <c r="C69" s="444"/>
      <c r="D69" s="444"/>
      <c r="E69" s="444"/>
      <c r="F69" s="444"/>
      <c r="G69" s="445"/>
      <c r="H69" s="184"/>
      <c r="I69" s="97"/>
      <c r="J69" s="212"/>
      <c r="K69" s="231">
        <f t="shared" si="7"/>
        <v>0</v>
      </c>
      <c r="L69" s="441"/>
      <c r="M69" s="441"/>
      <c r="N69" s="441"/>
      <c r="O69" s="230">
        <f>IF(H69=1,'5-พฤติกรรมการปฏิบัติงาน'!T69,IF(I69=1,'5-พฤติกรรมการปฏิบัติงาน'!U69,IF(J69=1,'5-พฤติกรรมการปฏิบัติงาน'!V69,0)))</f>
        <v>0</v>
      </c>
      <c r="P69" s="263"/>
      <c r="Q69" s="261">
        <v>1</v>
      </c>
      <c r="R69" s="261">
        <v>0.5</v>
      </c>
      <c r="S69" s="68">
        <v>0</v>
      </c>
      <c r="T69" s="262">
        <f>IF('5-พฤติกรรมการปฏิบัติงาน'!L69=DataSet!E88,Q69,IF('5-พฤติกรรมการปฏิบัติงาน'!L69=DataSet!E89,Q69,IF('5-พฤติกรรมการปฏิบัติงาน'!L69=DataSet!E90,R69,0)))</f>
        <v>0</v>
      </c>
      <c r="U69" s="262">
        <f>IF('5-พฤติกรรมการปฏิบัติงาน'!L69=DataSet!E88,R69,IF('5-พฤติกรรมการปฏิบัติงาน'!L69=DataSet!E89,Q69,IF('5-พฤติกรรมการปฏิบัติงาน'!L69=DataSet!E90,S69,0)))</f>
        <v>0</v>
      </c>
      <c r="V69" s="262">
        <f>IF('5-พฤติกรรมการปฏิบัติงาน'!L69=DataSet!E88,S69,IF('5-พฤติกรรมการปฏิบัติงาน'!L69=DataSet!E89,R69,IF('5-พฤติกรรมการปฏิบัติงาน'!L69=DataSet!E90,S69,0)))</f>
        <v>0</v>
      </c>
    </row>
    <row r="70" spans="1:26" s="140" customFormat="1" x14ac:dyDescent="0.55000000000000004">
      <c r="C70" s="141"/>
      <c r="D70" s="141"/>
      <c r="I70" s="141"/>
      <c r="J70" s="141"/>
      <c r="K70" s="141"/>
      <c r="L70" s="142"/>
      <c r="P70" s="67"/>
      <c r="Q70" s="67"/>
      <c r="R70" s="68"/>
      <c r="S70" s="68"/>
      <c r="T70" s="262"/>
      <c r="U70" s="67"/>
      <c r="V70" s="67"/>
      <c r="W70" s="67"/>
    </row>
    <row r="71" spans="1:26" s="140" customFormat="1" x14ac:dyDescent="0.55000000000000004">
      <c r="C71" s="141"/>
      <c r="D71" s="141"/>
      <c r="I71" s="141"/>
      <c r="J71" s="141"/>
      <c r="K71" s="141"/>
      <c r="L71" s="142"/>
      <c r="P71" s="67"/>
      <c r="Q71" s="67"/>
      <c r="R71" s="68"/>
      <c r="S71" s="68"/>
      <c r="T71" s="262"/>
      <c r="U71" s="67"/>
      <c r="V71" s="67"/>
      <c r="W71" s="67"/>
    </row>
    <row r="72" spans="1:26" s="140" customFormat="1" x14ac:dyDescent="0.55000000000000004">
      <c r="C72" s="141"/>
      <c r="D72" s="141"/>
      <c r="I72" s="141"/>
      <c r="J72" s="141"/>
      <c r="K72" s="141"/>
      <c r="L72" s="142"/>
      <c r="P72" s="67"/>
      <c r="Q72" s="67"/>
      <c r="R72" s="68"/>
      <c r="S72" s="68"/>
      <c r="T72" s="262"/>
      <c r="U72" s="67"/>
      <c r="V72" s="67"/>
      <c r="W72" s="67"/>
    </row>
    <row r="73" spans="1:26" s="140" customFormat="1" x14ac:dyDescent="0.55000000000000004">
      <c r="C73" s="141"/>
      <c r="D73" s="141"/>
      <c r="I73" s="141"/>
      <c r="J73" s="141"/>
      <c r="K73" s="141"/>
      <c r="L73" s="142"/>
      <c r="P73" s="67"/>
      <c r="Q73" s="67"/>
      <c r="R73" s="68"/>
      <c r="S73" s="68"/>
      <c r="T73" s="262"/>
      <c r="U73" s="67"/>
      <c r="V73" s="67"/>
      <c r="W73" s="67"/>
    </row>
    <row r="74" spans="1:26" s="140" customFormat="1" x14ac:dyDescent="0.55000000000000004">
      <c r="C74" s="141"/>
      <c r="D74" s="141"/>
      <c r="I74" s="141"/>
      <c r="J74" s="141"/>
      <c r="K74" s="141"/>
      <c r="L74" s="142"/>
      <c r="P74" s="67"/>
      <c r="Q74" s="67"/>
      <c r="R74" s="68"/>
      <c r="S74" s="68"/>
      <c r="T74" s="262"/>
      <c r="U74" s="67"/>
      <c r="V74" s="67"/>
      <c r="W74" s="67"/>
    </row>
    <row r="75" spans="1:26" s="140" customFormat="1" x14ac:dyDescent="0.55000000000000004">
      <c r="C75" s="141"/>
      <c r="D75" s="141"/>
      <c r="I75" s="141"/>
      <c r="J75" s="141"/>
      <c r="K75" s="141"/>
      <c r="L75" s="142"/>
      <c r="P75" s="67"/>
      <c r="Q75" s="67"/>
      <c r="R75" s="68"/>
      <c r="S75" s="68"/>
      <c r="T75" s="262"/>
      <c r="U75" s="67"/>
      <c r="V75" s="67"/>
      <c r="W75" s="67"/>
    </row>
    <row r="76" spans="1:26" s="140" customFormat="1" x14ac:dyDescent="0.55000000000000004">
      <c r="C76" s="141"/>
      <c r="D76" s="141"/>
      <c r="I76" s="141"/>
      <c r="J76" s="141"/>
      <c r="K76" s="141"/>
      <c r="L76" s="142"/>
      <c r="P76" s="67"/>
      <c r="Q76" s="67"/>
      <c r="R76" s="68"/>
      <c r="S76" s="68"/>
      <c r="T76" s="262"/>
      <c r="U76" s="67"/>
      <c r="V76" s="67"/>
      <c r="W76" s="67"/>
    </row>
    <row r="77" spans="1:26" s="140" customFormat="1" x14ac:dyDescent="0.55000000000000004">
      <c r="C77" s="141"/>
      <c r="D77" s="141"/>
      <c r="I77" s="141"/>
      <c r="J77" s="141"/>
      <c r="K77" s="141"/>
      <c r="L77" s="142"/>
      <c r="P77" s="67"/>
      <c r="Q77" s="67"/>
      <c r="R77" s="68"/>
      <c r="S77" s="68"/>
      <c r="T77" s="262"/>
      <c r="U77" s="67"/>
      <c r="V77" s="67"/>
      <c r="W77" s="67"/>
    </row>
    <row r="78" spans="1:26" s="140" customFormat="1" x14ac:dyDescent="0.55000000000000004">
      <c r="C78" s="141"/>
      <c r="D78" s="141"/>
      <c r="I78" s="141"/>
      <c r="J78" s="141"/>
      <c r="K78" s="141"/>
      <c r="L78" s="142"/>
      <c r="P78" s="67"/>
      <c r="Q78" s="67"/>
      <c r="R78" s="68"/>
      <c r="S78" s="68"/>
      <c r="T78" s="262"/>
      <c r="U78" s="67"/>
      <c r="V78" s="67"/>
      <c r="W78" s="67"/>
    </row>
    <row r="79" spans="1:26" s="140" customFormat="1" x14ac:dyDescent="0.55000000000000004">
      <c r="C79" s="141"/>
      <c r="D79" s="141"/>
      <c r="I79" s="141"/>
      <c r="J79" s="141"/>
      <c r="K79" s="141"/>
      <c r="L79" s="142"/>
      <c r="P79" s="67"/>
      <c r="Q79" s="67"/>
      <c r="R79" s="68"/>
      <c r="S79" s="68"/>
      <c r="T79" s="262"/>
      <c r="U79" s="67"/>
      <c r="V79" s="67"/>
      <c r="W79" s="67"/>
    </row>
    <row r="80" spans="1:26" s="140" customFormat="1" x14ac:dyDescent="0.55000000000000004">
      <c r="C80" s="141"/>
      <c r="D80" s="141"/>
      <c r="I80" s="141"/>
      <c r="J80" s="141"/>
      <c r="K80" s="141"/>
      <c r="L80" s="142"/>
      <c r="P80" s="67"/>
      <c r="Q80" s="67"/>
      <c r="R80" s="68"/>
      <c r="S80" s="68"/>
      <c r="T80" s="262"/>
      <c r="U80" s="67"/>
      <c r="V80" s="67"/>
      <c r="W80" s="67"/>
    </row>
    <row r="81" spans="3:23" s="140" customFormat="1" x14ac:dyDescent="0.55000000000000004">
      <c r="C81" s="141"/>
      <c r="D81" s="141"/>
      <c r="I81" s="141"/>
      <c r="J81" s="141"/>
      <c r="K81" s="141"/>
      <c r="L81" s="142"/>
      <c r="P81" s="67"/>
      <c r="Q81" s="67"/>
      <c r="R81" s="68"/>
      <c r="S81" s="68"/>
      <c r="T81" s="262"/>
      <c r="U81" s="67"/>
      <c r="V81" s="67"/>
      <c r="W81" s="67"/>
    </row>
    <row r="82" spans="3:23" s="140" customFormat="1" x14ac:dyDescent="0.55000000000000004">
      <c r="C82" s="141"/>
      <c r="D82" s="141"/>
      <c r="I82" s="141"/>
      <c r="J82" s="141"/>
      <c r="K82" s="141"/>
      <c r="L82" s="142"/>
      <c r="P82" s="67"/>
      <c r="Q82" s="67"/>
      <c r="R82" s="68"/>
      <c r="S82" s="68"/>
      <c r="T82" s="262"/>
      <c r="U82" s="67"/>
      <c r="V82" s="67"/>
      <c r="W82" s="67"/>
    </row>
    <row r="83" spans="3:23" s="140" customFormat="1" x14ac:dyDescent="0.55000000000000004">
      <c r="C83" s="141"/>
      <c r="D83" s="141"/>
      <c r="I83" s="141"/>
      <c r="J83" s="141"/>
      <c r="K83" s="141"/>
      <c r="L83" s="142"/>
      <c r="P83" s="67"/>
      <c r="Q83" s="67"/>
      <c r="R83" s="68"/>
      <c r="S83" s="68"/>
      <c r="T83" s="262"/>
      <c r="U83" s="67"/>
      <c r="V83" s="67"/>
      <c r="W83" s="67"/>
    </row>
    <row r="84" spans="3:23" s="140" customFormat="1" x14ac:dyDescent="0.55000000000000004">
      <c r="C84" s="141"/>
      <c r="D84" s="141"/>
      <c r="I84" s="141"/>
      <c r="J84" s="141"/>
      <c r="K84" s="141"/>
      <c r="L84" s="142"/>
      <c r="P84" s="67"/>
      <c r="Q84" s="67"/>
      <c r="R84" s="68"/>
      <c r="S84" s="68"/>
      <c r="T84" s="262"/>
      <c r="U84" s="67"/>
      <c r="V84" s="67"/>
      <c r="W84" s="67"/>
    </row>
    <row r="85" spans="3:23" s="140" customFormat="1" x14ac:dyDescent="0.55000000000000004">
      <c r="C85" s="141"/>
      <c r="D85" s="141"/>
      <c r="I85" s="141"/>
      <c r="J85" s="141"/>
      <c r="K85" s="141"/>
      <c r="L85" s="142"/>
      <c r="P85" s="67"/>
      <c r="Q85" s="67"/>
      <c r="R85" s="68"/>
      <c r="S85" s="68"/>
      <c r="T85" s="68"/>
      <c r="U85" s="67"/>
      <c r="V85" s="67"/>
      <c r="W85" s="67"/>
    </row>
    <row r="86" spans="3:23" s="140" customFormat="1" x14ac:dyDescent="0.55000000000000004">
      <c r="C86" s="141"/>
      <c r="D86" s="141"/>
      <c r="I86" s="141"/>
      <c r="J86" s="141"/>
      <c r="K86" s="141"/>
      <c r="L86" s="142"/>
      <c r="P86" s="67"/>
      <c r="Q86" s="67"/>
      <c r="R86" s="68"/>
      <c r="S86" s="68"/>
      <c r="T86" s="68"/>
      <c r="U86" s="67"/>
      <c r="V86" s="67"/>
      <c r="W86" s="67"/>
    </row>
    <row r="87" spans="3:23" s="140" customFormat="1" x14ac:dyDescent="0.55000000000000004">
      <c r="C87" s="141"/>
      <c r="D87" s="141"/>
      <c r="I87" s="141"/>
      <c r="J87" s="141"/>
      <c r="K87" s="141"/>
      <c r="L87" s="142"/>
      <c r="P87" s="67"/>
      <c r="Q87" s="67"/>
      <c r="R87" s="68"/>
      <c r="S87" s="68"/>
      <c r="T87" s="68"/>
      <c r="U87" s="67"/>
      <c r="V87" s="67"/>
      <c r="W87" s="67"/>
    </row>
    <row r="88" spans="3:23" s="140" customFormat="1" x14ac:dyDescent="0.55000000000000004">
      <c r="C88" s="141"/>
      <c r="D88" s="141"/>
      <c r="I88" s="141"/>
      <c r="J88" s="141"/>
      <c r="K88" s="141"/>
      <c r="L88" s="142"/>
      <c r="P88" s="67"/>
      <c r="Q88" s="67"/>
      <c r="R88" s="68"/>
      <c r="S88" s="68"/>
      <c r="T88" s="68"/>
      <c r="U88" s="67"/>
      <c r="V88" s="67"/>
      <c r="W88" s="67"/>
    </row>
    <row r="89" spans="3:23" s="140" customFormat="1" x14ac:dyDescent="0.55000000000000004">
      <c r="C89" s="141"/>
      <c r="D89" s="141"/>
      <c r="I89" s="141"/>
      <c r="J89" s="141"/>
      <c r="K89" s="141"/>
      <c r="L89" s="142"/>
      <c r="P89" s="67"/>
      <c r="Q89" s="67"/>
      <c r="R89" s="68"/>
      <c r="S89" s="68"/>
      <c r="T89" s="68"/>
      <c r="U89" s="67"/>
      <c r="V89" s="67"/>
      <c r="W89" s="67"/>
    </row>
    <row r="90" spans="3:23" s="140" customFormat="1" x14ac:dyDescent="0.55000000000000004">
      <c r="C90" s="141"/>
      <c r="D90" s="141"/>
      <c r="I90" s="141"/>
      <c r="J90" s="141"/>
      <c r="K90" s="141"/>
      <c r="L90" s="142"/>
      <c r="P90" s="67"/>
      <c r="Q90" s="67"/>
      <c r="R90" s="68"/>
      <c r="S90" s="68"/>
      <c r="T90" s="68"/>
      <c r="U90" s="67"/>
      <c r="V90" s="67"/>
      <c r="W90" s="67"/>
    </row>
    <row r="91" spans="3:23" s="140" customFormat="1" x14ac:dyDescent="0.55000000000000004">
      <c r="C91" s="141"/>
      <c r="D91" s="141"/>
      <c r="I91" s="141"/>
      <c r="J91" s="141"/>
      <c r="K91" s="141"/>
      <c r="L91" s="142"/>
      <c r="P91" s="67"/>
      <c r="Q91" s="67"/>
      <c r="R91" s="68"/>
      <c r="S91" s="68"/>
      <c r="T91" s="68"/>
      <c r="U91" s="67"/>
      <c r="V91" s="67"/>
      <c r="W91" s="67"/>
    </row>
    <row r="92" spans="3:23" s="140" customFormat="1" x14ac:dyDescent="0.55000000000000004">
      <c r="C92" s="141"/>
      <c r="D92" s="141"/>
      <c r="I92" s="141"/>
      <c r="J92" s="141"/>
      <c r="K92" s="141"/>
      <c r="L92" s="142"/>
      <c r="P92" s="67"/>
      <c r="Q92" s="67"/>
      <c r="R92" s="68"/>
      <c r="S92" s="68"/>
      <c r="T92" s="68"/>
      <c r="U92" s="67"/>
      <c r="V92" s="67"/>
      <c r="W92" s="67"/>
    </row>
    <row r="93" spans="3:23" s="140" customFormat="1" x14ac:dyDescent="0.55000000000000004">
      <c r="C93" s="141"/>
      <c r="D93" s="141"/>
      <c r="I93" s="141"/>
      <c r="J93" s="141"/>
      <c r="K93" s="141"/>
      <c r="L93" s="142"/>
      <c r="P93" s="67"/>
      <c r="Q93" s="67"/>
      <c r="R93" s="68"/>
      <c r="S93" s="68"/>
      <c r="T93" s="68"/>
      <c r="U93" s="67"/>
      <c r="V93" s="67"/>
      <c r="W93" s="67"/>
    </row>
    <row r="94" spans="3:23" s="140" customFormat="1" x14ac:dyDescent="0.55000000000000004">
      <c r="C94" s="141"/>
      <c r="D94" s="141"/>
      <c r="I94" s="141"/>
      <c r="J94" s="141"/>
      <c r="K94" s="141"/>
      <c r="L94" s="142"/>
      <c r="P94" s="67"/>
      <c r="Q94" s="67"/>
      <c r="R94" s="68"/>
      <c r="S94" s="68"/>
      <c r="T94" s="68"/>
      <c r="U94" s="67"/>
      <c r="V94" s="67"/>
      <c r="W94" s="67"/>
    </row>
    <row r="95" spans="3:23" s="140" customFormat="1" x14ac:dyDescent="0.55000000000000004">
      <c r="C95" s="141"/>
      <c r="D95" s="141"/>
      <c r="I95" s="141"/>
      <c r="J95" s="141"/>
      <c r="K95" s="141"/>
      <c r="L95" s="142"/>
      <c r="P95" s="67"/>
      <c r="Q95" s="67"/>
      <c r="R95" s="68"/>
      <c r="S95" s="68"/>
      <c r="T95" s="68"/>
      <c r="U95" s="67"/>
      <c r="V95" s="67"/>
      <c r="W95" s="67"/>
    </row>
    <row r="96" spans="3:23" s="140" customFormat="1" x14ac:dyDescent="0.55000000000000004">
      <c r="C96" s="141"/>
      <c r="D96" s="141"/>
      <c r="I96" s="141"/>
      <c r="J96" s="141"/>
      <c r="K96" s="141"/>
      <c r="L96" s="142"/>
      <c r="P96" s="67"/>
      <c r="Q96" s="67"/>
      <c r="R96" s="68"/>
      <c r="S96" s="68"/>
      <c r="T96" s="68"/>
      <c r="U96" s="67"/>
      <c r="V96" s="67"/>
      <c r="W96" s="67"/>
    </row>
    <row r="97" spans="3:23" s="140" customFormat="1" x14ac:dyDescent="0.55000000000000004">
      <c r="C97" s="141"/>
      <c r="D97" s="141"/>
      <c r="I97" s="141"/>
      <c r="J97" s="141"/>
      <c r="K97" s="141"/>
      <c r="L97" s="142"/>
      <c r="P97" s="67"/>
      <c r="Q97" s="67"/>
      <c r="R97" s="68"/>
      <c r="S97" s="68"/>
      <c r="T97" s="68"/>
      <c r="U97" s="67"/>
      <c r="V97" s="67"/>
      <c r="W97" s="67"/>
    </row>
    <row r="98" spans="3:23" s="140" customFormat="1" x14ac:dyDescent="0.55000000000000004">
      <c r="C98" s="141"/>
      <c r="D98" s="141"/>
      <c r="I98" s="141"/>
      <c r="J98" s="141"/>
      <c r="K98" s="141"/>
      <c r="L98" s="142"/>
      <c r="P98" s="67"/>
      <c r="Q98" s="67"/>
      <c r="R98" s="68"/>
      <c r="S98" s="68"/>
      <c r="T98" s="68"/>
      <c r="U98" s="67"/>
      <c r="V98" s="67"/>
      <c r="W98" s="67"/>
    </row>
    <row r="99" spans="3:23" s="140" customFormat="1" x14ac:dyDescent="0.55000000000000004">
      <c r="C99" s="141"/>
      <c r="D99" s="141"/>
      <c r="I99" s="141"/>
      <c r="J99" s="141"/>
      <c r="K99" s="141"/>
      <c r="L99" s="142"/>
      <c r="P99" s="67"/>
      <c r="Q99" s="67"/>
      <c r="R99" s="68"/>
      <c r="S99" s="68"/>
      <c r="T99" s="68"/>
      <c r="U99" s="67"/>
      <c r="V99" s="67"/>
      <c r="W99" s="67"/>
    </row>
  </sheetData>
  <sheetProtection algorithmName="SHA-512" hashValue="GGkiLP1nhfmp5ZBCuxBd8mn3myKe0DzlNhta+xPF/3HLccE3YPLMuoXphs4d9CzL0f9a+2F6dmAnMPbNIhEjmQ==" saltValue="HG0fDrmSI5otY+Lj4yr9GQ==" spinCount="100000" sheet="1" objects="1" scenarios="1" selectLockedCells="1"/>
  <mergeCells count="158">
    <mergeCell ref="H6:I6"/>
    <mergeCell ref="A2:O2"/>
    <mergeCell ref="A4:O4"/>
    <mergeCell ref="A1:I1"/>
    <mergeCell ref="L6:M6"/>
    <mergeCell ref="B10:G10"/>
    <mergeCell ref="B11:G11"/>
    <mergeCell ref="B12:G12"/>
    <mergeCell ref="A7:G7"/>
    <mergeCell ref="A8:A9"/>
    <mergeCell ref="B8:G9"/>
    <mergeCell ref="L7:M7"/>
    <mergeCell ref="H8:J8"/>
    <mergeCell ref="O8:O9"/>
    <mergeCell ref="L19:M19"/>
    <mergeCell ref="B17:G17"/>
    <mergeCell ref="B18:G18"/>
    <mergeCell ref="B13:G13"/>
    <mergeCell ref="B14:G14"/>
    <mergeCell ref="B15:G15"/>
    <mergeCell ref="B16:G16"/>
    <mergeCell ref="L18:N18"/>
    <mergeCell ref="H7:I7"/>
    <mergeCell ref="L8:N9"/>
    <mergeCell ref="L10:N10"/>
    <mergeCell ref="L11:N11"/>
    <mergeCell ref="L12:N12"/>
    <mergeCell ref="L13:N13"/>
    <mergeCell ref="L14:N14"/>
    <mergeCell ref="L15:N15"/>
    <mergeCell ref="L16:N16"/>
    <mergeCell ref="L17:N17"/>
    <mergeCell ref="K8:K9"/>
    <mergeCell ref="H19:I19"/>
    <mergeCell ref="A19:G19"/>
    <mergeCell ref="O27:O28"/>
    <mergeCell ref="L27:N28"/>
    <mergeCell ref="B23:G23"/>
    <mergeCell ref="B24:G24"/>
    <mergeCell ref="B25:G25"/>
    <mergeCell ref="A26:G26"/>
    <mergeCell ref="A20:A21"/>
    <mergeCell ref="B20:G21"/>
    <mergeCell ref="H20:J20"/>
    <mergeCell ref="O20:O21"/>
    <mergeCell ref="B22:G22"/>
    <mergeCell ref="L25:N25"/>
    <mergeCell ref="L24:N24"/>
    <mergeCell ref="L23:N23"/>
    <mergeCell ref="L22:N22"/>
    <mergeCell ref="L20:N21"/>
    <mergeCell ref="K20:K21"/>
    <mergeCell ref="K27:K28"/>
    <mergeCell ref="H26:I26"/>
    <mergeCell ref="L26:M26"/>
    <mergeCell ref="A27:A28"/>
    <mergeCell ref="B27:G28"/>
    <mergeCell ref="H27:J27"/>
    <mergeCell ref="B29:G29"/>
    <mergeCell ref="B30:G30"/>
    <mergeCell ref="B31:G31"/>
    <mergeCell ref="B32:G32"/>
    <mergeCell ref="B33:G33"/>
    <mergeCell ref="O40:O41"/>
    <mergeCell ref="L40:N41"/>
    <mergeCell ref="A39:G39"/>
    <mergeCell ref="L39:M39"/>
    <mergeCell ref="L38:N38"/>
    <mergeCell ref="L37:N37"/>
    <mergeCell ref="A34:G34"/>
    <mergeCell ref="B38:G38"/>
    <mergeCell ref="B52:G53"/>
    <mergeCell ref="H52:J52"/>
    <mergeCell ref="O45:O46"/>
    <mergeCell ref="H45:J45"/>
    <mergeCell ref="B45:G46"/>
    <mergeCell ref="A35:A36"/>
    <mergeCell ref="B35:G36"/>
    <mergeCell ref="H35:J35"/>
    <mergeCell ref="O35:O36"/>
    <mergeCell ref="L35:N36"/>
    <mergeCell ref="O52:O53"/>
    <mergeCell ref="B42:G42"/>
    <mergeCell ref="B43:G43"/>
    <mergeCell ref="A44:G44"/>
    <mergeCell ref="L44:M44"/>
    <mergeCell ref="L42:N42"/>
    <mergeCell ref="L43:N43"/>
    <mergeCell ref="A40:A41"/>
    <mergeCell ref="B40:G41"/>
    <mergeCell ref="H40:J40"/>
    <mergeCell ref="L52:N53"/>
    <mergeCell ref="A45:A46"/>
    <mergeCell ref="A51:G51"/>
    <mergeCell ref="L51:M51"/>
    <mergeCell ref="A66:A67"/>
    <mergeCell ref="B66:G67"/>
    <mergeCell ref="H66:J66"/>
    <mergeCell ref="O66:O67"/>
    <mergeCell ref="L66:N67"/>
    <mergeCell ref="B64:G64"/>
    <mergeCell ref="A65:G65"/>
    <mergeCell ref="L65:M65"/>
    <mergeCell ref="L64:N64"/>
    <mergeCell ref="A60:A61"/>
    <mergeCell ref="B60:G61"/>
    <mergeCell ref="H60:J60"/>
    <mergeCell ref="O60:O61"/>
    <mergeCell ref="L60:N61"/>
    <mergeCell ref="B58:G58"/>
    <mergeCell ref="A59:G59"/>
    <mergeCell ref="L59:M59"/>
    <mergeCell ref="L58:N58"/>
    <mergeCell ref="L45:N46"/>
    <mergeCell ref="L47:N47"/>
    <mergeCell ref="L48:N48"/>
    <mergeCell ref="L49:N49"/>
    <mergeCell ref="L50:N50"/>
    <mergeCell ref="B47:G47"/>
    <mergeCell ref="B48:G48"/>
    <mergeCell ref="B49:G49"/>
    <mergeCell ref="B50:G50"/>
    <mergeCell ref="A52:A53"/>
    <mergeCell ref="L68:N68"/>
    <mergeCell ref="L69:N69"/>
    <mergeCell ref="L29:N29"/>
    <mergeCell ref="L30:N30"/>
    <mergeCell ref="L31:N31"/>
    <mergeCell ref="L32:N32"/>
    <mergeCell ref="L33:N33"/>
    <mergeCell ref="B68:G68"/>
    <mergeCell ref="B69:G69"/>
    <mergeCell ref="L34:M34"/>
    <mergeCell ref="K35:K36"/>
    <mergeCell ref="K40:K41"/>
    <mergeCell ref="K45:K46"/>
    <mergeCell ref="K52:K53"/>
    <mergeCell ref="K60:K61"/>
    <mergeCell ref="K66:K67"/>
    <mergeCell ref="H34:I34"/>
    <mergeCell ref="H39:I39"/>
    <mergeCell ref="H44:I44"/>
    <mergeCell ref="H51:I51"/>
    <mergeCell ref="H59:I59"/>
    <mergeCell ref="H65:I65"/>
    <mergeCell ref="B37:G37"/>
    <mergeCell ref="B63:G63"/>
    <mergeCell ref="L62:N62"/>
    <mergeCell ref="L63:N63"/>
    <mergeCell ref="B57:G57"/>
    <mergeCell ref="B54:G54"/>
    <mergeCell ref="B55:G55"/>
    <mergeCell ref="B56:G56"/>
    <mergeCell ref="L57:N57"/>
    <mergeCell ref="L56:N56"/>
    <mergeCell ref="L55:N55"/>
    <mergeCell ref="L54:N54"/>
    <mergeCell ref="B62:G62"/>
  </mergeCells>
  <conditionalFormatting sqref="J6">
    <cfRule type="cellIs" dxfId="1" priority="2" operator="greaterThan">
      <formula>0</formula>
    </cfRule>
  </conditionalFormatting>
  <conditionalFormatting sqref="J7 J19 J26 J34 J39 J44 J51 J59 J65">
    <cfRule type="cellIs" dxfId="0" priority="1" operator="greaterThan">
      <formula>0</formula>
    </cfRule>
  </conditionalFormatting>
  <pageMargins left="0.47" right="0.28999999999999998" top="0.52" bottom="0.34" header="0.3" footer="0.3"/>
  <pageSetup scale="74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DataSet!$E$88:$E$90</xm:f>
          </x14:formula1>
          <xm:sqref>L68:N69 L29:N33 L10:N18 L37:N38 L42:N43 L22:N25 L47:N50 L54:N58 L62:N64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164"/>
  <sheetViews>
    <sheetView zoomScaleNormal="100" workbookViewId="0">
      <selection activeCell="A42" sqref="A42"/>
    </sheetView>
  </sheetViews>
  <sheetFormatPr defaultRowHeight="24" x14ac:dyDescent="0.55000000000000004"/>
  <cols>
    <col min="1" max="2" width="9" style="1"/>
    <col min="3" max="3" width="9.125" style="1" customWidth="1"/>
    <col min="4" max="4" width="8.75" style="1" customWidth="1"/>
    <col min="5" max="5" width="9.375" style="1" customWidth="1"/>
    <col min="6" max="6" width="9.625" style="1" customWidth="1"/>
    <col min="7" max="7" width="4.25" style="1" customWidth="1"/>
    <col min="8" max="8" width="12.5" style="1" customWidth="1"/>
    <col min="9" max="9" width="7.25" style="1" customWidth="1"/>
    <col min="10" max="10" width="9" style="1"/>
    <col min="11" max="11" width="9.25" style="1" customWidth="1"/>
    <col min="12" max="12" width="10.375" style="1" customWidth="1"/>
    <col min="13" max="16384" width="9" style="1"/>
  </cols>
  <sheetData>
    <row r="1" spans="1:12" s="152" customFormat="1" ht="33" x14ac:dyDescent="0.75">
      <c r="A1" s="539" t="s">
        <v>56</v>
      </c>
      <c r="B1" s="539"/>
      <c r="C1" s="539"/>
      <c r="D1" s="539"/>
      <c r="E1" s="539"/>
      <c r="F1" s="539"/>
      <c r="G1" s="539"/>
      <c r="H1" s="539"/>
      <c r="I1" s="539"/>
      <c r="J1" s="38">
        <f>DataSet!F5</f>
        <v>0</v>
      </c>
      <c r="K1" s="39"/>
      <c r="L1" s="39"/>
    </row>
    <row r="2" spans="1:12" s="152" customFormat="1" ht="28.5" customHeight="1" x14ac:dyDescent="0.75">
      <c r="A2" s="546" t="s">
        <v>55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</row>
    <row r="3" spans="1:12" ht="27.75" x14ac:dyDescent="0.65">
      <c r="A3" s="14" t="s">
        <v>0</v>
      </c>
      <c r="C3" s="29">
        <f>IF(DataSet!C5=0,0,IF(DataSet!C5=DataSet!A12,DataSet!A12,DataSet!A13))</f>
        <v>0</v>
      </c>
      <c r="D3" s="1">
        <f>IF(DataSet!C5=0,0,IF(DataSet!C5=DataSet!A12, D44, I44))</f>
        <v>0</v>
      </c>
      <c r="E3" s="207">
        <f>IF(DataSet!C5=0,0,IF(DataSet!C5=DataSet!A12,DataSet!F5,DataSet!F5+1))</f>
        <v>0</v>
      </c>
      <c r="F3" s="1">
        <f>IF(DataSet!C5=0,0,IF(DataSet!C5=DataSet!A12, E44, J44))</f>
        <v>0</v>
      </c>
      <c r="H3" s="175">
        <f>IF(DataSet!C5=0,0,IF(DataSet!C5=DataSet!A12,DataSet!F5,DataSet!F5+1))</f>
        <v>0</v>
      </c>
    </row>
    <row r="4" spans="1:12" x14ac:dyDescent="0.55000000000000004">
      <c r="A4" s="15" t="s">
        <v>1</v>
      </c>
      <c r="C4" s="549">
        <f>DataSet!C6</f>
        <v>0</v>
      </c>
      <c r="D4" s="549"/>
      <c r="E4" s="549"/>
      <c r="F4" s="15" t="s">
        <v>3</v>
      </c>
      <c r="G4" s="549">
        <f>DataSet!G6</f>
        <v>0</v>
      </c>
      <c r="H4" s="549"/>
      <c r="I4" s="181" t="s">
        <v>196</v>
      </c>
      <c r="J4" s="549">
        <f>DataSet!C7</f>
        <v>0</v>
      </c>
      <c r="K4" s="549"/>
      <c r="L4" s="549"/>
    </row>
    <row r="5" spans="1:12" x14ac:dyDescent="0.55000000000000004">
      <c r="A5" s="15" t="s">
        <v>54</v>
      </c>
      <c r="C5" s="549">
        <f>IF(DataSet!K6= "ประธานหลักสูตร", DataSet!G7, DataSet!C8)</f>
        <v>0</v>
      </c>
      <c r="D5" s="549"/>
      <c r="E5" s="549"/>
      <c r="F5" s="15" t="s">
        <v>3</v>
      </c>
      <c r="G5" s="549" t="str">
        <f>IF(DataSet!C7=0,"กรุณาเลือกสังกัดในแท็บ DataSet",IF(DataSet!K6=DataSet!E12,"คณบดีคณะมนุษยศาสตร์และสังคมศาสตร์","ประธานหลักสูตร"))</f>
        <v>กรุณาเลือกสังกัดในแท็บ DataSet</v>
      </c>
      <c r="H5" s="549"/>
      <c r="I5" s="549"/>
      <c r="J5" s="549"/>
    </row>
    <row r="6" spans="1:12" ht="9.75" customHeight="1" thickBot="1" x14ac:dyDescent="0.6"/>
    <row r="7" spans="1:12" x14ac:dyDescent="0.55000000000000004">
      <c r="A7" s="508" t="s">
        <v>13</v>
      </c>
      <c r="B7" s="509"/>
      <c r="C7" s="509"/>
      <c r="D7" s="509"/>
      <c r="E7" s="509"/>
      <c r="F7" s="509"/>
      <c r="G7" s="547"/>
      <c r="H7" s="547"/>
      <c r="I7" s="547"/>
      <c r="J7" s="547"/>
      <c r="K7" s="547"/>
      <c r="L7" s="510"/>
    </row>
    <row r="8" spans="1:12" x14ac:dyDescent="0.55000000000000004">
      <c r="A8" s="522" t="s">
        <v>14</v>
      </c>
      <c r="B8" s="506"/>
      <c r="C8" s="506"/>
      <c r="D8" s="506"/>
      <c r="E8" s="506"/>
      <c r="F8" s="548"/>
      <c r="G8" s="548" t="s">
        <v>286</v>
      </c>
      <c r="H8" s="552"/>
      <c r="I8" s="552"/>
      <c r="J8" s="552"/>
      <c r="K8" s="205" t="s">
        <v>16</v>
      </c>
      <c r="L8" s="206" t="e">
        <f>(G9*70)/DataSet!L5</f>
        <v>#DIV/0!</v>
      </c>
    </row>
    <row r="9" spans="1:12" x14ac:dyDescent="0.55000000000000004">
      <c r="A9" s="542" t="s">
        <v>219</v>
      </c>
      <c r="B9" s="543"/>
      <c r="C9" s="543"/>
      <c r="D9" s="543"/>
      <c r="E9" s="543"/>
      <c r="F9" s="544"/>
      <c r="G9" s="550">
        <f>'1-งานสอน'!J6+'2-งานวิชาการ'!J6+'3-งานสนับสนุนการปฏิบัติงาน'!K6+'4-งานตามภารกิจของคณะ'!K6+'4-งานตามภารกิจของคณะ'!K17</f>
        <v>0</v>
      </c>
      <c r="H9" s="551"/>
      <c r="I9" s="551"/>
      <c r="J9" s="168" t="s">
        <v>61</v>
      </c>
      <c r="K9" s="200" t="s">
        <v>288</v>
      </c>
      <c r="L9" s="169">
        <f>SUM(K41:K44)</f>
        <v>0</v>
      </c>
    </row>
    <row r="10" spans="1:12" hidden="1" x14ac:dyDescent="0.55000000000000004">
      <c r="A10" s="542" t="s">
        <v>17</v>
      </c>
      <c r="B10" s="543"/>
      <c r="C10" s="543"/>
      <c r="D10" s="543"/>
      <c r="E10" s="543"/>
      <c r="F10" s="543"/>
      <c r="G10" s="545" t="s">
        <v>18</v>
      </c>
      <c r="H10" s="545"/>
      <c r="I10" s="545"/>
      <c r="J10" s="540"/>
      <c r="K10" s="541"/>
      <c r="L10" s="35" t="s">
        <v>20</v>
      </c>
    </row>
    <row r="11" spans="1:12" ht="28.5" thickBot="1" x14ac:dyDescent="0.7">
      <c r="A11" s="536" t="s">
        <v>223</v>
      </c>
      <c r="B11" s="537"/>
      <c r="C11" s="537"/>
      <c r="D11" s="537"/>
      <c r="E11" s="537"/>
      <c r="F11" s="538"/>
      <c r="G11" s="535">
        <f>IF(DataSet!L5=0,0,IF(G9&gt;DataSet!L5,70,(G9*70)/DataSet!L5))</f>
        <v>0</v>
      </c>
      <c r="H11" s="535"/>
      <c r="I11" s="535"/>
      <c r="J11" s="167" t="s">
        <v>20</v>
      </c>
      <c r="K11" s="201" t="s">
        <v>202</v>
      </c>
      <c r="L11" s="202">
        <f>SUM(L41:L44)</f>
        <v>0</v>
      </c>
    </row>
    <row r="12" spans="1:12" ht="10.5" customHeight="1" thickBot="1" x14ac:dyDescent="0.6"/>
    <row r="13" spans="1:12" x14ac:dyDescent="0.55000000000000004">
      <c r="A13" s="508" t="s">
        <v>33</v>
      </c>
      <c r="B13" s="509"/>
      <c r="C13" s="509"/>
      <c r="D13" s="509"/>
      <c r="E13" s="509"/>
      <c r="F13" s="509"/>
      <c r="G13" s="509"/>
      <c r="H13" s="509"/>
      <c r="I13" s="509"/>
      <c r="J13" s="509"/>
      <c r="K13" s="509"/>
      <c r="L13" s="510"/>
    </row>
    <row r="14" spans="1:12" x14ac:dyDescent="0.55000000000000004">
      <c r="A14" s="511" t="s">
        <v>21</v>
      </c>
      <c r="B14" s="512"/>
      <c r="C14" s="512"/>
      <c r="D14" s="512"/>
      <c r="E14" s="203" t="s">
        <v>15</v>
      </c>
      <c r="F14" s="203" t="s">
        <v>16</v>
      </c>
      <c r="G14" s="512" t="s">
        <v>22</v>
      </c>
      <c r="H14" s="512"/>
      <c r="I14" s="512"/>
      <c r="J14" s="512"/>
      <c r="K14" s="203" t="s">
        <v>15</v>
      </c>
      <c r="L14" s="204" t="s">
        <v>16</v>
      </c>
    </row>
    <row r="15" spans="1:12" x14ac:dyDescent="0.55000000000000004">
      <c r="A15" s="513" t="s">
        <v>23</v>
      </c>
      <c r="B15" s="505"/>
      <c r="C15" s="505"/>
      <c r="D15" s="505"/>
      <c r="E15" s="16">
        <v>4</v>
      </c>
      <c r="F15" s="194">
        <f>'5-พฤติกรรมการปฏิบัติงาน'!J7</f>
        <v>0</v>
      </c>
      <c r="G15" s="504" t="s">
        <v>29</v>
      </c>
      <c r="H15" s="504"/>
      <c r="I15" s="504"/>
      <c r="J15" s="504"/>
      <c r="K15" s="16">
        <v>4</v>
      </c>
      <c r="L15" s="195">
        <f>'5-พฤติกรรมการปฏิบัติงาน'!J51</f>
        <v>0</v>
      </c>
    </row>
    <row r="16" spans="1:12" x14ac:dyDescent="0.55000000000000004">
      <c r="A16" s="513" t="s">
        <v>24</v>
      </c>
      <c r="B16" s="505"/>
      <c r="C16" s="505"/>
      <c r="D16" s="505"/>
      <c r="E16" s="16">
        <v>3</v>
      </c>
      <c r="F16" s="194">
        <f>'5-พฤติกรรมการปฏิบัติงาน'!J19</f>
        <v>0</v>
      </c>
      <c r="G16" s="505" t="s">
        <v>30</v>
      </c>
      <c r="H16" s="505"/>
      <c r="I16" s="505"/>
      <c r="J16" s="505"/>
      <c r="K16" s="16">
        <v>3</v>
      </c>
      <c r="L16" s="195">
        <f>'5-พฤติกรรมการปฏิบัติงาน'!J59</f>
        <v>0</v>
      </c>
    </row>
    <row r="17" spans="1:12" x14ac:dyDescent="0.55000000000000004">
      <c r="A17" s="513" t="s">
        <v>25</v>
      </c>
      <c r="B17" s="505"/>
      <c r="C17" s="505"/>
      <c r="D17" s="505"/>
      <c r="E17" s="16">
        <v>3</v>
      </c>
      <c r="F17" s="194">
        <f>'5-พฤติกรรมการปฏิบัติงาน'!J26</f>
        <v>0</v>
      </c>
      <c r="G17" s="505" t="s">
        <v>31</v>
      </c>
      <c r="H17" s="505"/>
      <c r="I17" s="505"/>
      <c r="J17" s="505"/>
      <c r="K17" s="16">
        <v>3</v>
      </c>
      <c r="L17" s="195">
        <f>'5-พฤติกรรมการปฏิบัติงาน'!J65</f>
        <v>0</v>
      </c>
    </row>
    <row r="18" spans="1:12" x14ac:dyDescent="0.55000000000000004">
      <c r="A18" s="513" t="s">
        <v>26</v>
      </c>
      <c r="B18" s="505"/>
      <c r="C18" s="505"/>
      <c r="D18" s="505"/>
      <c r="E18" s="16">
        <v>3</v>
      </c>
      <c r="F18" s="194">
        <f>'5-พฤติกรรมการปฏิบัติงาน'!J34</f>
        <v>0</v>
      </c>
      <c r="G18" s="506" t="s">
        <v>19</v>
      </c>
      <c r="H18" s="506"/>
      <c r="I18" s="506"/>
      <c r="J18" s="506"/>
      <c r="K18" s="182">
        <v>10</v>
      </c>
      <c r="L18" s="196">
        <f>SUM(L15:L17)</f>
        <v>0</v>
      </c>
    </row>
    <row r="19" spans="1:12" x14ac:dyDescent="0.55000000000000004">
      <c r="A19" s="503" t="s">
        <v>27</v>
      </c>
      <c r="B19" s="504"/>
      <c r="C19" s="504"/>
      <c r="D19" s="504"/>
      <c r="E19" s="16">
        <v>4</v>
      </c>
      <c r="F19" s="194">
        <f>'5-พฤติกรรมการปฏิบัติงาน'!J39</f>
        <v>0</v>
      </c>
      <c r="G19" s="507"/>
      <c r="H19" s="507"/>
      <c r="I19" s="507"/>
      <c r="J19" s="507"/>
      <c r="K19" s="178"/>
      <c r="L19" s="36"/>
    </row>
    <row r="20" spans="1:12" x14ac:dyDescent="0.55000000000000004">
      <c r="A20" s="513" t="s">
        <v>28</v>
      </c>
      <c r="B20" s="505"/>
      <c r="C20" s="505"/>
      <c r="D20" s="505"/>
      <c r="E20" s="16">
        <v>3</v>
      </c>
      <c r="F20" s="194">
        <f>'5-พฤติกรรมการปฏิบัติงาน'!J44</f>
        <v>0</v>
      </c>
      <c r="G20" s="507"/>
      <c r="H20" s="507"/>
      <c r="I20" s="507"/>
      <c r="J20" s="507"/>
      <c r="K20" s="178"/>
      <c r="L20" s="36"/>
    </row>
    <row r="21" spans="1:12" ht="28.5" thickBot="1" x14ac:dyDescent="0.7">
      <c r="A21" s="523" t="s">
        <v>19</v>
      </c>
      <c r="B21" s="524"/>
      <c r="C21" s="524"/>
      <c r="D21" s="524"/>
      <c r="E21" s="180">
        <v>20</v>
      </c>
      <c r="F21" s="193">
        <f>SUM(F15:F20)</f>
        <v>0</v>
      </c>
      <c r="G21" s="517"/>
      <c r="H21" s="517"/>
      <c r="I21" s="517"/>
      <c r="J21" s="517"/>
      <c r="K21" s="179"/>
      <c r="L21" s="37"/>
    </row>
    <row r="22" spans="1:12" ht="12" customHeight="1" thickBot="1" x14ac:dyDescent="0.6"/>
    <row r="23" spans="1:12" x14ac:dyDescent="0.55000000000000004">
      <c r="A23" s="518" t="s">
        <v>32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19"/>
      <c r="L23" s="520"/>
    </row>
    <row r="24" spans="1:12" x14ac:dyDescent="0.55000000000000004">
      <c r="A24" s="522" t="s">
        <v>34</v>
      </c>
      <c r="B24" s="506"/>
      <c r="C24" s="506"/>
      <c r="D24" s="506"/>
      <c r="E24" s="182" t="s">
        <v>15</v>
      </c>
      <c r="F24" s="182" t="s">
        <v>16</v>
      </c>
      <c r="G24" s="506" t="s">
        <v>35</v>
      </c>
      <c r="H24" s="506"/>
      <c r="I24" s="506" t="s">
        <v>36</v>
      </c>
      <c r="J24" s="506"/>
      <c r="K24" s="506"/>
      <c r="L24" s="521"/>
    </row>
    <row r="25" spans="1:12" x14ac:dyDescent="0.55000000000000004">
      <c r="A25" s="525" t="s">
        <v>37</v>
      </c>
      <c r="B25" s="526"/>
      <c r="C25" s="526"/>
      <c r="D25" s="526"/>
      <c r="E25" s="176">
        <v>70</v>
      </c>
      <c r="F25" s="137">
        <f>G11</f>
        <v>0</v>
      </c>
      <c r="G25" s="529">
        <f>F25+F26</f>
        <v>0</v>
      </c>
      <c r="H25" s="529"/>
      <c r="I25" s="531" t="str">
        <f>IF(G25&lt;1, "รอข้อมูล", IF(G25&lt;59.99, C50, IF(G25&lt;69.99, C49, IF(G25&lt;84.99, C48, IF(G25&lt;94.99, C47, IF(G25&gt;94.99, C46, "ผิดพลาด"))))))</f>
        <v>รอข้อมูล</v>
      </c>
      <c r="J25" s="531"/>
      <c r="K25" s="531"/>
      <c r="L25" s="532"/>
    </row>
    <row r="26" spans="1:12" ht="24.75" thickBot="1" x14ac:dyDescent="0.6">
      <c r="A26" s="527" t="s">
        <v>38</v>
      </c>
      <c r="B26" s="528"/>
      <c r="C26" s="528"/>
      <c r="D26" s="528"/>
      <c r="E26" s="177">
        <v>30</v>
      </c>
      <c r="F26" s="197">
        <f>F21+L18</f>
        <v>0</v>
      </c>
      <c r="G26" s="530"/>
      <c r="H26" s="530"/>
      <c r="I26" s="533"/>
      <c r="J26" s="533"/>
      <c r="K26" s="533"/>
      <c r="L26" s="534"/>
    </row>
    <row r="27" spans="1:12" ht="8.25" customHeight="1" x14ac:dyDescent="0.55000000000000004">
      <c r="G27" s="17"/>
      <c r="H27" s="17"/>
    </row>
    <row r="28" spans="1:12" x14ac:dyDescent="0.55000000000000004">
      <c r="A28" s="1" t="s">
        <v>44</v>
      </c>
      <c r="D28" s="515"/>
      <c r="E28" s="515"/>
      <c r="F28" s="515"/>
      <c r="G28" s="515"/>
      <c r="H28" s="515"/>
      <c r="I28" s="515"/>
      <c r="J28" s="515"/>
      <c r="K28" s="515"/>
      <c r="L28" s="515"/>
    </row>
    <row r="29" spans="1:12" ht="9" customHeight="1" x14ac:dyDescent="0.55000000000000004">
      <c r="D29" s="18"/>
      <c r="E29" s="18"/>
      <c r="F29" s="18"/>
      <c r="G29" s="18"/>
      <c r="H29" s="18"/>
      <c r="I29" s="18"/>
      <c r="J29" s="18"/>
      <c r="K29" s="18"/>
      <c r="L29" s="18"/>
    </row>
    <row r="30" spans="1:12" x14ac:dyDescent="0.55000000000000004">
      <c r="A30" s="1" t="s">
        <v>45</v>
      </c>
      <c r="D30" s="515"/>
      <c r="E30" s="515"/>
      <c r="F30" s="515"/>
      <c r="G30" s="515"/>
      <c r="H30" s="515"/>
      <c r="I30" s="515"/>
      <c r="J30" s="515"/>
      <c r="K30" s="515"/>
      <c r="L30" s="515"/>
    </row>
    <row r="31" spans="1:12" ht="9" customHeight="1" x14ac:dyDescent="0.55000000000000004">
      <c r="D31" s="18"/>
      <c r="E31" s="18"/>
      <c r="F31" s="18"/>
      <c r="G31" s="18"/>
      <c r="H31" s="18"/>
      <c r="I31" s="18"/>
      <c r="J31" s="18"/>
      <c r="K31" s="18"/>
      <c r="L31" s="18"/>
    </row>
    <row r="32" spans="1:12" x14ac:dyDescent="0.55000000000000004">
      <c r="A32" s="516" t="s">
        <v>46</v>
      </c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6"/>
    </row>
    <row r="33" spans="1:12" ht="11.25" customHeight="1" x14ac:dyDescent="0.55000000000000004"/>
    <row r="34" spans="1:12" x14ac:dyDescent="0.55000000000000004">
      <c r="A34" s="1" t="s">
        <v>47</v>
      </c>
      <c r="C34" s="514"/>
      <c r="D34" s="514"/>
      <c r="E34" s="514"/>
      <c r="G34" s="1" t="s">
        <v>48</v>
      </c>
      <c r="I34" s="514"/>
      <c r="J34" s="514"/>
      <c r="K34" s="514"/>
      <c r="L34" s="514"/>
    </row>
    <row r="35" spans="1:12" x14ac:dyDescent="0.55000000000000004">
      <c r="C35" s="514" t="str">
        <f>(DataSet!G7)</f>
        <v>ผศ.ดร.ฉัตรแก้ว  เภาวิเศษ</v>
      </c>
      <c r="D35" s="514"/>
      <c r="E35" s="514"/>
      <c r="I35" s="514">
        <f>DataSet!C6</f>
        <v>0</v>
      </c>
      <c r="J35" s="514"/>
      <c r="K35" s="514"/>
      <c r="L35" s="514"/>
    </row>
    <row r="36" spans="1:12" ht="9" customHeight="1" x14ac:dyDescent="0.55000000000000004"/>
    <row r="37" spans="1:12" ht="16.5" customHeight="1" x14ac:dyDescent="0.55000000000000004"/>
    <row r="38" spans="1:12" x14ac:dyDescent="0.55000000000000004">
      <c r="A38" s="1" t="s">
        <v>49</v>
      </c>
      <c r="C38" s="514" t="s">
        <v>50</v>
      </c>
      <c r="D38" s="514"/>
      <c r="E38" s="514"/>
      <c r="F38" s="175" t="s">
        <v>51</v>
      </c>
    </row>
    <row r="39" spans="1:12" x14ac:dyDescent="0.55000000000000004">
      <c r="C39" s="514">
        <f>DataSet!G8</f>
        <v>0</v>
      </c>
      <c r="D39" s="514"/>
      <c r="E39" s="514"/>
    </row>
    <row r="40" spans="1:12" s="67" customFormat="1" x14ac:dyDescent="0.55000000000000004">
      <c r="K40" s="68" t="s">
        <v>289</v>
      </c>
      <c r="L40" s="68" t="s">
        <v>202</v>
      </c>
    </row>
    <row r="41" spans="1:12" s="67" customFormat="1" x14ac:dyDescent="0.55000000000000004">
      <c r="K41" s="68">
        <f>COUNTA('1-งานสอน'!B8:D13)</f>
        <v>0</v>
      </c>
      <c r="L41" s="68">
        <f>COUNTIF('1-งานสอน'!L8:L13, " "&gt;0)</f>
        <v>0</v>
      </c>
    </row>
    <row r="42" spans="1:12" s="67" customFormat="1" x14ac:dyDescent="0.55000000000000004">
      <c r="K42" s="68">
        <f>COUNTA('2-งานวิชาการ'!B10:E14,'2-งานวิชาการ'!B18:E22,'2-งานวิชาการ'!B26:D30,'2-งานวิชาการ'!B34:D38,'2-งานวิชาการ'!B42:D49,'2-งานวิชาการ'!B53:D60,'2-งานวิชาการ'!B64:D71)</f>
        <v>0</v>
      </c>
      <c r="L42" s="170">
        <f>COUNTIF('2-งานวิชาการ'!L10:L14, " "&gt;0)+COUNTIF('2-งานวิชาการ'!L18:L22, " "&gt;0)+COUNTIF('2-งานวิชาการ'!L26:L30, " "&gt;0)+COUNTIF('2-งานวิชาการ'!L34:L38, " "&gt;0)+COUNTIF('2-งานวิชาการ'!L42:L49, " "&gt;0)+COUNTIF('2-งานวิชาการ'!L53:L60, " "&gt;0)+COUNTIF('2-งานวิชาการ'!L64:L71, " "&gt;0)</f>
        <v>0</v>
      </c>
    </row>
    <row r="43" spans="1:12" s="67" customFormat="1" x14ac:dyDescent="0.55000000000000004">
      <c r="K43" s="68">
        <f>COUNTA('3-งานสนับสนุนการปฏิบัติงาน'!B10:G11,'3-งานสนับสนุนการปฏิบัติงาน'!F15,'3-งานสนับสนุนการปฏิบัติงาน'!B19:G38,'3-งานสนับสนุนการปฏิบัติงาน'!B42:G51)</f>
        <v>0</v>
      </c>
      <c r="L43" s="171">
        <f>COUNTIF('3-งานสนับสนุนการปฏิบัติงาน'!M10:M11, " "&gt;0)+COUNTIF('3-งานสนับสนุนการปฏิบัติงาน'!M15, " "&gt;0)+ COUNTIF('3-งานสนับสนุนการปฏิบัติงาน'!M19:M38, " "&gt;0)+COUNTIF('3-งานสนับสนุนการปฏิบัติงาน'!M42:M51, " "&gt;0)</f>
        <v>0</v>
      </c>
    </row>
    <row r="44" spans="1:12" s="67" customFormat="1" x14ac:dyDescent="0.55000000000000004">
      <c r="A44" s="67" t="s">
        <v>0</v>
      </c>
      <c r="C44" s="67" t="s">
        <v>179</v>
      </c>
      <c r="D44" s="172" t="s">
        <v>355</v>
      </c>
      <c r="E44" s="67" t="s">
        <v>187</v>
      </c>
      <c r="H44" s="67" t="s">
        <v>180</v>
      </c>
      <c r="I44" s="172" t="s">
        <v>354</v>
      </c>
      <c r="J44" s="67" t="s">
        <v>188</v>
      </c>
      <c r="K44" s="68">
        <f>COUNTA('4-งานตามภารกิจของคณะ'!B8:G15,'4-งานตามภารกิจของคณะ'!B19:G26)</f>
        <v>0</v>
      </c>
      <c r="L44" s="170">
        <f>COUNTIF('4-งานตามภารกิจของคณะ'!M8:M15, " "&gt;0)+COUNTIF('4-งานตามภารกิจของคณะ'!M19:M26, " "&gt;0)</f>
        <v>0</v>
      </c>
    </row>
    <row r="45" spans="1:12" s="67" customFormat="1" x14ac:dyDescent="0.55000000000000004">
      <c r="L45" s="68"/>
    </row>
    <row r="46" spans="1:12" s="67" customFormat="1" x14ac:dyDescent="0.55000000000000004">
      <c r="A46" s="67" t="s">
        <v>36</v>
      </c>
      <c r="C46" s="67" t="s">
        <v>39</v>
      </c>
      <c r="L46" s="68"/>
    </row>
    <row r="47" spans="1:12" s="67" customFormat="1" x14ac:dyDescent="0.55000000000000004">
      <c r="C47" s="67" t="s">
        <v>40</v>
      </c>
    </row>
    <row r="48" spans="1:12" s="67" customFormat="1" x14ac:dyDescent="0.55000000000000004">
      <c r="C48" s="67" t="s">
        <v>41</v>
      </c>
    </row>
    <row r="49" spans="3:3" s="67" customFormat="1" x14ac:dyDescent="0.55000000000000004">
      <c r="C49" s="67" t="s">
        <v>42</v>
      </c>
    </row>
    <row r="50" spans="3:3" s="67" customFormat="1" x14ac:dyDescent="0.55000000000000004">
      <c r="C50" s="67" t="s">
        <v>43</v>
      </c>
    </row>
    <row r="51" spans="3:3" s="140" customFormat="1" x14ac:dyDescent="0.55000000000000004"/>
    <row r="52" spans="3:3" s="140" customFormat="1" x14ac:dyDescent="0.55000000000000004"/>
    <row r="53" spans="3:3" s="140" customFormat="1" x14ac:dyDescent="0.55000000000000004"/>
    <row r="54" spans="3:3" s="140" customFormat="1" x14ac:dyDescent="0.55000000000000004"/>
    <row r="55" spans="3:3" s="140" customFormat="1" x14ac:dyDescent="0.55000000000000004"/>
    <row r="56" spans="3:3" s="140" customFormat="1" x14ac:dyDescent="0.55000000000000004"/>
    <row r="57" spans="3:3" s="140" customFormat="1" x14ac:dyDescent="0.55000000000000004"/>
    <row r="58" spans="3:3" s="140" customFormat="1" x14ac:dyDescent="0.55000000000000004"/>
    <row r="59" spans="3:3" s="140" customFormat="1" x14ac:dyDescent="0.55000000000000004"/>
    <row r="60" spans="3:3" s="140" customFormat="1" x14ac:dyDescent="0.55000000000000004"/>
    <row r="61" spans="3:3" s="140" customFormat="1" x14ac:dyDescent="0.55000000000000004"/>
    <row r="62" spans="3:3" s="140" customFormat="1" x14ac:dyDescent="0.55000000000000004"/>
    <row r="63" spans="3:3" s="67" customFormat="1" x14ac:dyDescent="0.55000000000000004"/>
    <row r="64" spans="3:3" s="67" customFormat="1" x14ac:dyDescent="0.55000000000000004"/>
    <row r="65" s="67" customFormat="1" x14ac:dyDescent="0.55000000000000004"/>
    <row r="66" s="67" customFormat="1" x14ac:dyDescent="0.55000000000000004"/>
    <row r="67" s="67" customFormat="1" x14ac:dyDescent="0.55000000000000004"/>
    <row r="68" s="67" customFormat="1" x14ac:dyDescent="0.55000000000000004"/>
    <row r="69" s="67" customFormat="1" x14ac:dyDescent="0.55000000000000004"/>
    <row r="70" s="67" customFormat="1" x14ac:dyDescent="0.55000000000000004"/>
    <row r="71" s="67" customFormat="1" x14ac:dyDescent="0.55000000000000004"/>
    <row r="72" s="67" customFormat="1" x14ac:dyDescent="0.55000000000000004"/>
    <row r="73" s="67" customFormat="1" x14ac:dyDescent="0.55000000000000004"/>
    <row r="74" s="67" customFormat="1" x14ac:dyDescent="0.55000000000000004"/>
    <row r="75" s="67" customFormat="1" x14ac:dyDescent="0.55000000000000004"/>
    <row r="76" s="67" customFormat="1" x14ac:dyDescent="0.55000000000000004"/>
    <row r="77" s="67" customFormat="1" x14ac:dyDescent="0.55000000000000004"/>
    <row r="78" s="67" customFormat="1" x14ac:dyDescent="0.55000000000000004"/>
    <row r="79" s="67" customFormat="1" x14ac:dyDescent="0.55000000000000004"/>
    <row r="80" s="67" customFormat="1" x14ac:dyDescent="0.55000000000000004"/>
    <row r="81" s="67" customFormat="1" x14ac:dyDescent="0.55000000000000004"/>
    <row r="82" s="67" customFormat="1" x14ac:dyDescent="0.55000000000000004"/>
    <row r="83" s="67" customFormat="1" x14ac:dyDescent="0.55000000000000004"/>
    <row r="84" s="67" customFormat="1" x14ac:dyDescent="0.55000000000000004"/>
    <row r="85" s="67" customFormat="1" x14ac:dyDescent="0.55000000000000004"/>
    <row r="86" s="67" customFormat="1" x14ac:dyDescent="0.55000000000000004"/>
    <row r="87" s="67" customFormat="1" x14ac:dyDescent="0.55000000000000004"/>
    <row r="88" s="67" customFormat="1" x14ac:dyDescent="0.55000000000000004"/>
    <row r="89" s="67" customFormat="1" x14ac:dyDescent="0.55000000000000004"/>
    <row r="90" s="67" customFormat="1" x14ac:dyDescent="0.55000000000000004"/>
    <row r="91" s="67" customFormat="1" x14ac:dyDescent="0.55000000000000004"/>
    <row r="92" s="67" customFormat="1" x14ac:dyDescent="0.55000000000000004"/>
    <row r="93" s="67" customFormat="1" x14ac:dyDescent="0.55000000000000004"/>
    <row r="94" s="67" customFormat="1" x14ac:dyDescent="0.55000000000000004"/>
    <row r="95" s="67" customFormat="1" x14ac:dyDescent="0.55000000000000004"/>
    <row r="96" s="67" customFormat="1" x14ac:dyDescent="0.55000000000000004"/>
    <row r="97" s="67" customFormat="1" x14ac:dyDescent="0.55000000000000004"/>
    <row r="98" s="67" customFormat="1" x14ac:dyDescent="0.55000000000000004"/>
    <row r="99" s="67" customFormat="1" x14ac:dyDescent="0.55000000000000004"/>
    <row r="100" s="67" customFormat="1" x14ac:dyDescent="0.55000000000000004"/>
    <row r="101" s="67" customFormat="1" x14ac:dyDescent="0.55000000000000004"/>
    <row r="102" s="67" customFormat="1" x14ac:dyDescent="0.55000000000000004"/>
    <row r="103" s="67" customFormat="1" x14ac:dyDescent="0.55000000000000004"/>
    <row r="104" s="67" customFormat="1" x14ac:dyDescent="0.55000000000000004"/>
    <row r="105" s="67" customFormat="1" x14ac:dyDescent="0.55000000000000004"/>
    <row r="106" s="67" customFormat="1" x14ac:dyDescent="0.55000000000000004"/>
    <row r="107" s="67" customFormat="1" x14ac:dyDescent="0.55000000000000004"/>
    <row r="108" s="67" customFormat="1" x14ac:dyDescent="0.55000000000000004"/>
    <row r="109" s="67" customFormat="1" x14ac:dyDescent="0.55000000000000004"/>
    <row r="110" s="67" customFormat="1" x14ac:dyDescent="0.55000000000000004"/>
    <row r="111" s="67" customFormat="1" x14ac:dyDescent="0.55000000000000004"/>
    <row r="112" s="67" customFormat="1" x14ac:dyDescent="0.55000000000000004"/>
    <row r="113" s="67" customFormat="1" x14ac:dyDescent="0.55000000000000004"/>
    <row r="114" s="67" customFormat="1" x14ac:dyDescent="0.55000000000000004"/>
    <row r="115" s="67" customFormat="1" x14ac:dyDescent="0.55000000000000004"/>
    <row r="116" s="67" customFormat="1" x14ac:dyDescent="0.55000000000000004"/>
    <row r="117" s="67" customFormat="1" x14ac:dyDescent="0.55000000000000004"/>
    <row r="118" s="67" customFormat="1" x14ac:dyDescent="0.55000000000000004"/>
    <row r="119" s="67" customFormat="1" x14ac:dyDescent="0.55000000000000004"/>
    <row r="120" s="67" customFormat="1" x14ac:dyDescent="0.55000000000000004"/>
    <row r="121" s="67" customFormat="1" x14ac:dyDescent="0.55000000000000004"/>
    <row r="122" s="67" customFormat="1" x14ac:dyDescent="0.55000000000000004"/>
    <row r="123" s="67" customFormat="1" x14ac:dyDescent="0.55000000000000004"/>
    <row r="124" s="67" customFormat="1" x14ac:dyDescent="0.55000000000000004"/>
    <row r="125" s="67" customFormat="1" x14ac:dyDescent="0.55000000000000004"/>
    <row r="126" s="67" customFormat="1" x14ac:dyDescent="0.55000000000000004"/>
    <row r="127" s="67" customFormat="1" x14ac:dyDescent="0.55000000000000004"/>
    <row r="128" s="67" customFormat="1" x14ac:dyDescent="0.55000000000000004"/>
    <row r="129" s="67" customFormat="1" x14ac:dyDescent="0.55000000000000004"/>
    <row r="130" s="67" customFormat="1" x14ac:dyDescent="0.55000000000000004"/>
    <row r="131" s="67" customFormat="1" x14ac:dyDescent="0.55000000000000004"/>
    <row r="132" s="67" customFormat="1" x14ac:dyDescent="0.55000000000000004"/>
    <row r="133" s="67" customFormat="1" x14ac:dyDescent="0.55000000000000004"/>
    <row r="134" s="67" customFormat="1" x14ac:dyDescent="0.55000000000000004"/>
    <row r="135" s="67" customFormat="1" x14ac:dyDescent="0.55000000000000004"/>
    <row r="136" s="67" customFormat="1" x14ac:dyDescent="0.55000000000000004"/>
    <row r="137" s="67" customFormat="1" x14ac:dyDescent="0.55000000000000004"/>
    <row r="138" s="67" customFormat="1" x14ac:dyDescent="0.55000000000000004"/>
    <row r="139" s="67" customFormat="1" x14ac:dyDescent="0.55000000000000004"/>
    <row r="140" s="67" customFormat="1" x14ac:dyDescent="0.55000000000000004"/>
    <row r="141" s="67" customFormat="1" x14ac:dyDescent="0.55000000000000004"/>
    <row r="142" s="67" customFormat="1" x14ac:dyDescent="0.55000000000000004"/>
    <row r="143" s="67" customFormat="1" x14ac:dyDescent="0.55000000000000004"/>
    <row r="144" s="67" customFormat="1" x14ac:dyDescent="0.55000000000000004"/>
    <row r="145" s="67" customFormat="1" x14ac:dyDescent="0.55000000000000004"/>
    <row r="146" s="67" customFormat="1" x14ac:dyDescent="0.55000000000000004"/>
    <row r="147" s="67" customFormat="1" x14ac:dyDescent="0.55000000000000004"/>
    <row r="148" s="67" customFormat="1" x14ac:dyDescent="0.55000000000000004"/>
    <row r="149" s="67" customFormat="1" x14ac:dyDescent="0.55000000000000004"/>
    <row r="150" s="67" customFormat="1" x14ac:dyDescent="0.55000000000000004"/>
    <row r="151" s="67" customFormat="1" x14ac:dyDescent="0.55000000000000004"/>
    <row r="152" s="67" customFormat="1" x14ac:dyDescent="0.55000000000000004"/>
    <row r="153" s="67" customFormat="1" x14ac:dyDescent="0.55000000000000004"/>
    <row r="154" s="67" customFormat="1" x14ac:dyDescent="0.55000000000000004"/>
    <row r="155" s="67" customFormat="1" x14ac:dyDescent="0.55000000000000004"/>
    <row r="156" s="67" customFormat="1" x14ac:dyDescent="0.55000000000000004"/>
    <row r="157" s="67" customFormat="1" x14ac:dyDescent="0.55000000000000004"/>
    <row r="158" s="67" customFormat="1" x14ac:dyDescent="0.55000000000000004"/>
    <row r="159" s="67" customFormat="1" x14ac:dyDescent="0.55000000000000004"/>
    <row r="160" s="67" customFormat="1" x14ac:dyDescent="0.55000000000000004"/>
    <row r="161" s="67" customFormat="1" x14ac:dyDescent="0.55000000000000004"/>
    <row r="162" s="67" customFormat="1" x14ac:dyDescent="0.55000000000000004"/>
    <row r="163" s="67" customFormat="1" x14ac:dyDescent="0.55000000000000004"/>
    <row r="164" s="67" customFormat="1" x14ac:dyDescent="0.55000000000000004"/>
  </sheetData>
  <sheetProtection algorithmName="SHA-512" hashValue="VMAtnKXTDb7oBKji3frsFViVrDR8WGuqsxM9jD5iilWjCopjKxv5atET/SMauVTyEUBKdfDXkkeC5XShdLWEFg==" saltValue="EA0XfMlJiJAgduB3U7/6VQ==" spinCount="100000" sheet="1" objects="1" scenarios="1" selectLockedCells="1"/>
  <mergeCells count="51">
    <mergeCell ref="A1:I1"/>
    <mergeCell ref="J10:K10"/>
    <mergeCell ref="A9:F9"/>
    <mergeCell ref="A10:F10"/>
    <mergeCell ref="G10:I10"/>
    <mergeCell ref="A2:L2"/>
    <mergeCell ref="A7:L7"/>
    <mergeCell ref="A8:F8"/>
    <mergeCell ref="J4:L4"/>
    <mergeCell ref="G9:I9"/>
    <mergeCell ref="C4:E4"/>
    <mergeCell ref="G4:H4"/>
    <mergeCell ref="C5:E5"/>
    <mergeCell ref="G5:J5"/>
    <mergeCell ref="G8:J8"/>
    <mergeCell ref="G11:I11"/>
    <mergeCell ref="A11:F11"/>
    <mergeCell ref="A17:D17"/>
    <mergeCell ref="A18:D18"/>
    <mergeCell ref="G15:J15"/>
    <mergeCell ref="G14:J14"/>
    <mergeCell ref="G16:J16"/>
    <mergeCell ref="A25:D25"/>
    <mergeCell ref="A26:D26"/>
    <mergeCell ref="G25:H26"/>
    <mergeCell ref="I25:L26"/>
    <mergeCell ref="D28:L28"/>
    <mergeCell ref="G20:J20"/>
    <mergeCell ref="G21:J21"/>
    <mergeCell ref="A23:L23"/>
    <mergeCell ref="I24:L24"/>
    <mergeCell ref="G24:H24"/>
    <mergeCell ref="A24:D24"/>
    <mergeCell ref="A20:D20"/>
    <mergeCell ref="A21:D21"/>
    <mergeCell ref="C38:E38"/>
    <mergeCell ref="C39:E39"/>
    <mergeCell ref="D30:L30"/>
    <mergeCell ref="C34:E34"/>
    <mergeCell ref="I34:L34"/>
    <mergeCell ref="C35:E35"/>
    <mergeCell ref="I35:L35"/>
    <mergeCell ref="A32:L32"/>
    <mergeCell ref="A19:D19"/>
    <mergeCell ref="G17:J17"/>
    <mergeCell ref="G18:J18"/>
    <mergeCell ref="G19:J19"/>
    <mergeCell ref="A13:L13"/>
    <mergeCell ref="A14:D14"/>
    <mergeCell ref="A15:D15"/>
    <mergeCell ref="A16:D16"/>
  </mergeCells>
  <pageMargins left="0.51" right="0.36" top="0.52" bottom="0.34" header="0.3" footer="0.3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DataSet</vt:lpstr>
      <vt:lpstr>1-งานสอน</vt:lpstr>
      <vt:lpstr>2-งานวิชาการ</vt:lpstr>
      <vt:lpstr>3-งานสนับสนุนการปฏิบัติงาน</vt:lpstr>
      <vt:lpstr>4-งานตามภารกิจของคณะ</vt:lpstr>
      <vt:lpstr>5-พฤติกรรมการปฏิบัติงาน</vt:lpstr>
      <vt:lpstr>6-Report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บรรพต พิจิตรกำเนิด</dc:creator>
  <cp:lastModifiedBy>บรรพต พิจิตรกำเนิด</cp:lastModifiedBy>
  <cp:lastPrinted>2017-08-14T07:13:20Z</cp:lastPrinted>
  <dcterms:created xsi:type="dcterms:W3CDTF">2017-05-04T15:54:19Z</dcterms:created>
  <dcterms:modified xsi:type="dcterms:W3CDTF">2017-08-16T00:21:05Z</dcterms:modified>
</cp:coreProperties>
</file>